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<sst xmlns="http://schemas.openxmlformats.org/spreadsheetml/2006/main" count="607" uniqueCount="187">
  <si>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</si>
  <si>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</si>
  <si>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</si>
  <si>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</si>
  <si>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</si>
  <si>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</si>
  <si>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</si>
  <si>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</si>
  <si>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</si>
  <si>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</si>
  <si>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</si>
  <si>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</si>
  <si>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</si>
  <si>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</si>
  <si>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</si>
  <si>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</si>
  <si>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</si>
  <si>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</si>
  <si>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</si>
  <si>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</si>
  <si>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</si>
  <si>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</si>
  <si>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</si>
  <si>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</si>
  <si>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</si>
  <si>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</si>
  <si>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</si>
  <si>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</si>
  <si>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</si>
  <si>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</si>
  <si>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</si>
  <si>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</si>
  <si>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</si>
  <si>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</si>
  <si>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</si>
  <si>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</si>
  <si>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</si>
  <si>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</si>
  <si>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</si>
  <si>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</si>
  <si>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</si>
  <si>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</si>
  <si>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</si>
  <si>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</si>
  <si>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</si>
  <si>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</si>
  <si>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</si>
  <si>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</si>
  <si>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</si>
  <si>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</si>
  <si>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</si>
  <si>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</si>
  <si>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</si>
  <si>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</si>
  <si>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</si>
  <si>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</si>
  <si>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</si>
  <si>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</si>
  <si>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</si>
  <si>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</si>
  <si>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</si>
  <si>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</si>
  <si>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</si>
  <si>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</si>
  <si>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</si>
  <si>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</si>
  <si>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</si>
  <si>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</si>
  <si>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</si>
  <si>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</si>
  <si>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</si>
  <si>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</si>
  <si>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</si>
  <si>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</si>
  <si>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</si>
  <si>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</si>
  <si>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</si>
  <si>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</si>
  <si>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</si>
  <si>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</si>
  <si>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</si>
  <si>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</si>
  <si>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</si>
  <si>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</si>
  <si>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</si>
  <si>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</si>
  <si>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</si>
  <si>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</si>
  <si>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</si>
  <si>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</si>
  <si>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</si>
  <si>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</si>
  <si>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</si>
  <si>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</si>
  <si>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</si>
  <si>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</si>
  <si>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</si>
  <si>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</si>
  <si>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</si>
  <si>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</si>
  <si>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</si>
  <si>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</si>
  <si>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</si>
  <si>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</si>
  <si>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</si>
  <si>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</si>
  <si>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</si>
  <si>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</si>
  <si>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</si>
  <si>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</si>
  <si>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</si>
  <si>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</si>
  <si>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</si>
  <si>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</si>
  <si>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</si>
  <si>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</si>
  <si>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</si>
  <si>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</si>
  <si>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</si>
  <si>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</si>
  <si>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</si>
  <si>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</si>
  <si>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</si>
  <si>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</si>
  <si>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</si>
  <si>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</si>
  <si>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</si>
  <si>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</si>
  <si>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</si>
  <si>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</si>
  <si>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</si>
  <si>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</si>
  <si>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</si>
  <si>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</si>
  <si>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</si>
  <si>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</si>
  <si>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</si>
  <si>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</si>
  <si>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</si>
  <si>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</si>
  <si>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</si>
  <si>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</si>
  <si>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</si>
  <si>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</si>
  <si>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</si>
  <si>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</si>
  <si>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</si>
  <si>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</si>
  <si>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</si>
  <si>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</si>
  <si>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</si>
  <si>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</si>
  <si>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</si>
  <si>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</si>
  <si>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</si>
  <si>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</si>
  <si>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</si>
  <si>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</si>
  <si>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</si>
  <si>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</si>
  <si>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</si>
  <si>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</si>
  <si>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</si>
  <si>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</si>
  <si>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</si>
  <si>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</si>
  <si>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</si>
  <si>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</si>
  <si>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</si>
  <si>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</si>
  <si>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</si>
  <si>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</si>
  <si>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</si>
  <si>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</si>
  <si>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</si>
  <si>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</si>
  <si>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</si>
  <si>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</si>
  <si>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</si>
  <si>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</si>
  <si>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</si>
  <si>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</si>
  <si>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</si>
  <si>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</si>
  <si>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</si>
  <si>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</si>
  <si>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25.04.17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</si>
</sst>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9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5"/>
      <c r="T1" s="85"/>
      <c r="U1" s="86"/>
    </row>
    <row r="2" spans="2:21" s="1" customFormat="1" ht="15.75" customHeight="1">
      <c r="B2" s="290"/>
      <c r="C2" s="290"/>
      <c r="D2" s="290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1"/>
      <c r="B3" s="293"/>
      <c r="C3" s="294" t="s">
        <v>0</v>
      </c>
      <c r="D3" s="295" t="s">
        <v>138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180</v>
      </c>
      <c r="O3" s="302" t="s">
        <v>179</v>
      </c>
      <c r="P3" s="302"/>
      <c r="Q3" s="302"/>
      <c r="R3" s="302"/>
      <c r="S3" s="302"/>
      <c r="T3" s="302"/>
      <c r="U3" s="302"/>
    </row>
    <row r="4" spans="1:21" ht="22.5" customHeight="1">
      <c r="A4" s="291"/>
      <c r="B4" s="293"/>
      <c r="C4" s="294"/>
      <c r="D4" s="295"/>
      <c r="E4" s="285" t="s">
        <v>176</v>
      </c>
      <c r="F4" s="311" t="s">
        <v>33</v>
      </c>
      <c r="G4" s="303" t="s">
        <v>177</v>
      </c>
      <c r="H4" s="300" t="s">
        <v>178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186</v>
      </c>
      <c r="P4" s="303" t="s">
        <v>49</v>
      </c>
      <c r="Q4" s="305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181</v>
      </c>
      <c r="L5" s="307"/>
      <c r="M5" s="308"/>
      <c r="N5" s="301"/>
      <c r="O5" s="288"/>
      <c r="P5" s="304"/>
      <c r="Q5" s="305"/>
      <c r="R5" s="316" t="s">
        <v>182</v>
      </c>
      <c r="S5" s="317"/>
      <c r="T5" s="318" t="s">
        <v>183</v>
      </c>
      <c r="U5" s="318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397977.5</v>
      </c>
      <c r="F8" s="149">
        <f>F9+F15+F18+F19+F23+F40</f>
        <v>367673.32999999996</v>
      </c>
      <c r="G8" s="149">
        <f aca="true" t="shared" si="0" ref="G8:G40">F8-E8</f>
        <v>-30304.170000000042</v>
      </c>
      <c r="H8" s="150">
        <f>F8/E8*100</f>
        <v>92.38545646424734</v>
      </c>
      <c r="I8" s="151">
        <f>F8-D8</f>
        <v>-930777.7700000001</v>
      </c>
      <c r="J8" s="151">
        <f>F8/D8*100</f>
        <v>28.316301630458007</v>
      </c>
      <c r="K8" s="149">
        <v>294130.62</v>
      </c>
      <c r="L8" s="149">
        <f aca="true" t="shared" si="1" ref="L8:L54">F8-K8</f>
        <v>73542.70999999996</v>
      </c>
      <c r="M8" s="203">
        <f aca="true" t="shared" si="2" ref="M8:M31">F8/K8</f>
        <v>1.2500341854921462</v>
      </c>
      <c r="N8" s="149">
        <f>N9+N15+N18+N19+N23+N17</f>
        <v>105438</v>
      </c>
      <c r="O8" s="149">
        <f>O9+O15+O18+O19+O23+O17</f>
        <v>74127.51000000001</v>
      </c>
      <c r="P8" s="149">
        <f>O8-N8</f>
        <v>-31310.48999999999</v>
      </c>
      <c r="Q8" s="149">
        <f>O8/N8*100</f>
        <v>70.30435895976782</v>
      </c>
      <c r="R8" s="15">
        <f>R9+R15+R18+R19+R23</f>
        <v>105040</v>
      </c>
      <c r="S8" s="15">
        <f>O8-R8</f>
        <v>-30912.48999999999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205930.97</v>
      </c>
      <c r="G9" s="148">
        <f t="shared" si="0"/>
        <v>-14929.029999999999</v>
      </c>
      <c r="H9" s="155">
        <f>F9/E9*100</f>
        <v>93.24050076971837</v>
      </c>
      <c r="I9" s="156">
        <f>F9-D9</f>
        <v>-560714.03</v>
      </c>
      <c r="J9" s="156">
        <f>F9/D9*100</f>
        <v>26.86132042862081</v>
      </c>
      <c r="K9" s="225">
        <v>158037.8</v>
      </c>
      <c r="L9" s="157">
        <f t="shared" si="1"/>
        <v>47893.17000000001</v>
      </c>
      <c r="M9" s="204">
        <f t="shared" si="2"/>
        <v>1.3030488275589764</v>
      </c>
      <c r="N9" s="155">
        <f>E9-березень!E9</f>
        <v>59000</v>
      </c>
      <c r="O9" s="158">
        <f>F9-березень!F9</f>
        <v>43743.610000000015</v>
      </c>
      <c r="P9" s="159">
        <f>O9-N9</f>
        <v>-15256.389999999985</v>
      </c>
      <c r="Q9" s="156">
        <f>O9/N9*100</f>
        <v>74.1417118644068</v>
      </c>
      <c r="R9" s="99">
        <v>61380</v>
      </c>
      <c r="S9" s="99">
        <f>O9-R9</f>
        <v>-17636.389999999985</v>
      </c>
      <c r="T9" s="99">
        <f>березень!F9+квітень!R9</f>
        <v>223567.36</v>
      </c>
      <c r="U9" s="99">
        <f>F9-T9</f>
        <v>-17636.389999999985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188963.04</v>
      </c>
      <c r="G10" s="102">
        <f t="shared" si="0"/>
        <v>-11172.959999999992</v>
      </c>
      <c r="H10" s="29">
        <f aca="true" t="shared" si="3" ref="H10:H39">F10/E10*100</f>
        <v>94.41731622496702</v>
      </c>
      <c r="I10" s="103">
        <f aca="true" t="shared" si="4" ref="I10:I40">F10-D10</f>
        <v>-512353.95999999996</v>
      </c>
      <c r="J10" s="103">
        <f aca="true" t="shared" si="5" ref="J10:J39">F10/D10*100</f>
        <v>26.944026738265293</v>
      </c>
      <c r="K10" s="105">
        <v>137815.99</v>
      </c>
      <c r="L10" s="105">
        <f t="shared" si="1"/>
        <v>51147.05000000002</v>
      </c>
      <c r="M10" s="205">
        <f t="shared" si="2"/>
        <v>1.3711256582055538</v>
      </c>
      <c r="N10" s="104">
        <f>E10-березень!E10</f>
        <v>53624</v>
      </c>
      <c r="O10" s="142">
        <f>F10-березень!F10</f>
        <v>40647.67000000001</v>
      </c>
      <c r="P10" s="105">
        <f aca="true" t="shared" si="6" ref="P10:P40">O10-N10</f>
        <v>-12976.329999999987</v>
      </c>
      <c r="Q10" s="103">
        <f aca="true" t="shared" si="7" ref="Q10:Q27">O10/N10*100</f>
        <v>75.80126435924215</v>
      </c>
      <c r="R10" s="36"/>
      <c r="S10" s="99">
        <f aca="true" t="shared" si="8" ref="S10:S35">O10-R10</f>
        <v>40647.67000000001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10887.58</v>
      </c>
      <c r="G11" s="102">
        <f t="shared" si="0"/>
        <v>-3812.42</v>
      </c>
      <c r="H11" s="29">
        <f t="shared" si="3"/>
        <v>74.06517006802721</v>
      </c>
      <c r="I11" s="103">
        <f t="shared" si="4"/>
        <v>-35618.42</v>
      </c>
      <c r="J11" s="103">
        <f t="shared" si="5"/>
        <v>23.41112974669935</v>
      </c>
      <c r="K11" s="105">
        <v>11487.54</v>
      </c>
      <c r="L11" s="105">
        <f t="shared" si="1"/>
        <v>-599.960000000001</v>
      </c>
      <c r="M11" s="205">
        <f t="shared" si="2"/>
        <v>0.9477729783748304</v>
      </c>
      <c r="N11" s="104">
        <f>E11-березень!E11</f>
        <v>3900</v>
      </c>
      <c r="O11" s="142">
        <f>F11-березень!F11</f>
        <v>1783.1000000000004</v>
      </c>
      <c r="P11" s="105">
        <f t="shared" si="6"/>
        <v>-2116.8999999999996</v>
      </c>
      <c r="Q11" s="103">
        <f t="shared" si="7"/>
        <v>45.72051282051283</v>
      </c>
      <c r="R11" s="36"/>
      <c r="S11" s="99">
        <f t="shared" si="8"/>
        <v>1783.1000000000004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2492.12</v>
      </c>
      <c r="G12" s="102">
        <f t="shared" si="0"/>
        <v>152.1199999999999</v>
      </c>
      <c r="H12" s="29">
        <f t="shared" si="3"/>
        <v>106.50085470085469</v>
      </c>
      <c r="I12" s="103">
        <f t="shared" si="4"/>
        <v>-5787.88</v>
      </c>
      <c r="J12" s="103">
        <f t="shared" si="5"/>
        <v>30.09806763285024</v>
      </c>
      <c r="K12" s="105">
        <v>4096.43</v>
      </c>
      <c r="L12" s="105">
        <f t="shared" si="1"/>
        <v>-1604.3100000000004</v>
      </c>
      <c r="M12" s="205">
        <f t="shared" si="2"/>
        <v>0.6083638680509614</v>
      </c>
      <c r="N12" s="104">
        <f>E12-березень!E12</f>
        <v>600</v>
      </c>
      <c r="O12" s="142">
        <f>F12-березень!F12</f>
        <v>727.4299999999998</v>
      </c>
      <c r="P12" s="105">
        <f t="shared" si="6"/>
        <v>127.42999999999984</v>
      </c>
      <c r="Q12" s="103">
        <f t="shared" si="7"/>
        <v>121.23833333333332</v>
      </c>
      <c r="R12" s="36"/>
      <c r="S12" s="99">
        <f t="shared" si="8"/>
        <v>727.4299999999998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3106.07</v>
      </c>
      <c r="G13" s="102">
        <f t="shared" si="0"/>
        <v>-193.92999999999984</v>
      </c>
      <c r="H13" s="29">
        <f t="shared" si="3"/>
        <v>94.12333333333333</v>
      </c>
      <c r="I13" s="103">
        <f t="shared" si="4"/>
        <v>-6283.93</v>
      </c>
      <c r="J13" s="103">
        <f t="shared" si="5"/>
        <v>33.078487752928645</v>
      </c>
      <c r="K13" s="105">
        <v>3211.48</v>
      </c>
      <c r="L13" s="105">
        <f t="shared" si="1"/>
        <v>-105.40999999999985</v>
      </c>
      <c r="M13" s="205">
        <f t="shared" si="2"/>
        <v>0.9671771270566842</v>
      </c>
      <c r="N13" s="104">
        <f>E13-березень!E13</f>
        <v>780</v>
      </c>
      <c r="O13" s="142">
        <f>F13-березень!F13</f>
        <v>476.9100000000003</v>
      </c>
      <c r="P13" s="105">
        <f t="shared" si="6"/>
        <v>-303.0899999999997</v>
      </c>
      <c r="Q13" s="103">
        <f t="shared" si="7"/>
        <v>61.14230769230773</v>
      </c>
      <c r="R13" s="36"/>
      <c r="S13" s="99">
        <f t="shared" si="8"/>
        <v>476.9100000000003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>F15/D15*100</f>
        <v>-66.50090744101634</v>
      </c>
      <c r="K15" s="159">
        <v>185.84</v>
      </c>
      <c r="L15" s="159">
        <f t="shared" si="1"/>
        <v>-552.26</v>
      </c>
      <c r="M15" s="206">
        <f t="shared" si="2"/>
        <v>-1.9716960826517436</v>
      </c>
      <c r="N15" s="162">
        <f>E15-березень!E15</f>
        <v>0</v>
      </c>
      <c r="O15" s="166">
        <f>F15-березень!F15</f>
        <v>0</v>
      </c>
      <c r="P15" s="159">
        <f t="shared" si="6"/>
        <v>0</v>
      </c>
      <c r="Q15" s="156"/>
      <c r="R15" s="36">
        <v>46</v>
      </c>
      <c r="S15" s="99">
        <f t="shared" si="8"/>
        <v>-46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33490.98</v>
      </c>
      <c r="G19" s="160">
        <f t="shared" si="0"/>
        <v>-4409.019999999997</v>
      </c>
      <c r="H19" s="162">
        <f t="shared" si="3"/>
        <v>88.36670184696571</v>
      </c>
      <c r="I19" s="163">
        <f t="shared" si="4"/>
        <v>-96509.01999999999</v>
      </c>
      <c r="J19" s="163">
        <f t="shared" si="5"/>
        <v>25.76229230769231</v>
      </c>
      <c r="K19" s="159">
        <v>26018.63</v>
      </c>
      <c r="L19" s="165">
        <f t="shared" si="1"/>
        <v>7472.350000000002</v>
      </c>
      <c r="M19" s="211">
        <f t="shared" si="2"/>
        <v>1.287192292599572</v>
      </c>
      <c r="N19" s="162">
        <f>E19-березень!E19</f>
        <v>10100</v>
      </c>
      <c r="O19" s="166">
        <f>F19-березень!F19</f>
        <v>5857.120000000003</v>
      </c>
      <c r="P19" s="165">
        <f t="shared" si="6"/>
        <v>-4242.879999999997</v>
      </c>
      <c r="Q19" s="163">
        <f t="shared" si="7"/>
        <v>57.9912871287129</v>
      </c>
      <c r="R19" s="36">
        <v>8000</v>
      </c>
      <c r="S19" s="99">
        <f t="shared" si="8"/>
        <v>-2142.8799999999974</v>
      </c>
      <c r="T19" s="36"/>
      <c r="U19" s="93"/>
    </row>
    <row r="20" spans="1:21" s="6" customFormat="1" ht="46.5">
      <c r="A20" s="8"/>
      <c r="B20" s="250" t="s">
        <v>161</v>
      </c>
      <c r="C20" s="122">
        <v>14040000</v>
      </c>
      <c r="D20" s="251">
        <v>76500</v>
      </c>
      <c r="E20" s="251">
        <v>37900</v>
      </c>
      <c r="F20" s="199">
        <v>20220.98</v>
      </c>
      <c r="G20" s="251">
        <f t="shared" si="0"/>
        <v>-17679.02</v>
      </c>
      <c r="H20" s="193">
        <f t="shared" si="3"/>
        <v>53.3535092348285</v>
      </c>
      <c r="I20" s="252">
        <f t="shared" si="4"/>
        <v>-56279.020000000004</v>
      </c>
      <c r="J20" s="252">
        <f t="shared" si="5"/>
        <v>26.432653594771242</v>
      </c>
      <c r="K20" s="253">
        <v>26018.6</v>
      </c>
      <c r="L20" s="164">
        <f t="shared" si="1"/>
        <v>-5797.619999999999</v>
      </c>
      <c r="M20" s="254">
        <f t="shared" si="2"/>
        <v>0.7771740216614269</v>
      </c>
      <c r="N20" s="193">
        <f>E20-березень!E20</f>
        <v>10100</v>
      </c>
      <c r="O20" s="177">
        <f>F20-березень!F20</f>
        <v>2486.9199999999983</v>
      </c>
      <c r="P20" s="164">
        <f t="shared" si="6"/>
        <v>-7613.080000000002</v>
      </c>
      <c r="Q20" s="252">
        <f t="shared" si="7"/>
        <v>24.622970297029685</v>
      </c>
      <c r="R20" s="106">
        <v>4300</v>
      </c>
      <c r="S20" s="99">
        <f t="shared" si="8"/>
        <v>-1813.0800000000017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10700</v>
      </c>
      <c r="E21" s="251">
        <v>0</v>
      </c>
      <c r="F21" s="199">
        <v>2670.66</v>
      </c>
      <c r="G21" s="251">
        <f t="shared" si="0"/>
        <v>2670.66</v>
      </c>
      <c r="H21" s="193"/>
      <c r="I21" s="252">
        <f t="shared" si="4"/>
        <v>-8029.34</v>
      </c>
      <c r="J21" s="252">
        <f t="shared" si="5"/>
        <v>24.959439252336445</v>
      </c>
      <c r="K21" s="253">
        <v>0</v>
      </c>
      <c r="L21" s="164">
        <f t="shared" si="1"/>
        <v>2670.66</v>
      </c>
      <c r="M21" s="254"/>
      <c r="N21" s="193">
        <f>E21-березень!E21</f>
        <v>0</v>
      </c>
      <c r="O21" s="177">
        <f>F21-березень!F21</f>
        <v>433.8699999999999</v>
      </c>
      <c r="P21" s="164">
        <f t="shared" si="6"/>
        <v>433.8699999999999</v>
      </c>
      <c r="Q21" s="252"/>
      <c r="R21" s="106">
        <v>700</v>
      </c>
      <c r="S21" s="99">
        <f t="shared" si="8"/>
        <v>-266.1300000000001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42800</v>
      </c>
      <c r="E22" s="251">
        <v>0</v>
      </c>
      <c r="F22" s="199">
        <v>10599.33</v>
      </c>
      <c r="G22" s="251">
        <f t="shared" si="0"/>
        <v>10599.33</v>
      </c>
      <c r="H22" s="193"/>
      <c r="I22" s="252">
        <f t="shared" si="4"/>
        <v>-32200.67</v>
      </c>
      <c r="J22" s="252">
        <f t="shared" si="5"/>
        <v>24.76478971962617</v>
      </c>
      <c r="K22" s="253">
        <v>0</v>
      </c>
      <c r="L22" s="164">
        <f t="shared" si="1"/>
        <v>10599.33</v>
      </c>
      <c r="M22" s="254"/>
      <c r="N22" s="193">
        <f>E22-березень!E22</f>
        <v>0</v>
      </c>
      <c r="O22" s="177">
        <f>F22-березень!F22</f>
        <v>2936.3199999999997</v>
      </c>
      <c r="P22" s="164">
        <f t="shared" si="6"/>
        <v>2936.3199999999997</v>
      </c>
      <c r="Q22" s="252"/>
      <c r="R22" s="106">
        <v>3000</v>
      </c>
      <c r="S22" s="99">
        <f t="shared" si="8"/>
        <v>-63.68000000000029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128499.34</v>
      </c>
      <c r="G23" s="148">
        <f t="shared" si="0"/>
        <v>-10477.160000000003</v>
      </c>
      <c r="H23" s="155">
        <f t="shared" si="3"/>
        <v>92.46120027486661</v>
      </c>
      <c r="I23" s="156">
        <f t="shared" si="4"/>
        <v>-272630.76</v>
      </c>
      <c r="J23" s="156">
        <f t="shared" si="5"/>
        <v>32.03433000914168</v>
      </c>
      <c r="K23" s="156">
        <v>109782.5</v>
      </c>
      <c r="L23" s="159">
        <f t="shared" si="1"/>
        <v>18716.839999999997</v>
      </c>
      <c r="M23" s="207">
        <f t="shared" si="2"/>
        <v>1.170490196524947</v>
      </c>
      <c r="N23" s="155">
        <f>E23-березень!E23</f>
        <v>36338</v>
      </c>
      <c r="O23" s="158">
        <f>F23-березень!F23</f>
        <v>24526.78</v>
      </c>
      <c r="P23" s="159">
        <f t="shared" si="6"/>
        <v>-11811.220000000001</v>
      </c>
      <c r="Q23" s="156">
        <f t="shared" si="7"/>
        <v>67.49622984203863</v>
      </c>
      <c r="R23" s="281">
        <f>R24+R32+R33+R34+R35</f>
        <v>35614</v>
      </c>
      <c r="S23" s="99">
        <f t="shared" si="8"/>
        <v>-11087.220000000001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57636.13</v>
      </c>
      <c r="G24" s="148">
        <f t="shared" si="0"/>
        <v>-9707.670000000006</v>
      </c>
      <c r="H24" s="155">
        <f t="shared" si="3"/>
        <v>85.58490907848977</v>
      </c>
      <c r="I24" s="156">
        <f t="shared" si="4"/>
        <v>-148984.87</v>
      </c>
      <c r="J24" s="156">
        <f t="shared" si="5"/>
        <v>27.89461380982572</v>
      </c>
      <c r="K24" s="156">
        <v>58036.24</v>
      </c>
      <c r="L24" s="159">
        <f t="shared" si="1"/>
        <v>-400.1100000000006</v>
      </c>
      <c r="M24" s="207">
        <f t="shared" si="2"/>
        <v>0.9931058593733846</v>
      </c>
      <c r="N24" s="155">
        <f>E24-березень!E24</f>
        <v>19503</v>
      </c>
      <c r="O24" s="158">
        <f>F24-березень!F24</f>
        <v>9072.769999999997</v>
      </c>
      <c r="P24" s="159">
        <f t="shared" si="6"/>
        <v>-10430.230000000003</v>
      </c>
      <c r="Q24" s="156">
        <f t="shared" si="7"/>
        <v>46.51986873814283</v>
      </c>
      <c r="R24" s="106">
        <f>R25+R28+R29</f>
        <v>18772</v>
      </c>
      <c r="S24" s="99">
        <f t="shared" si="8"/>
        <v>-9699.230000000003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7778.26</v>
      </c>
      <c r="G25" s="169">
        <f t="shared" si="0"/>
        <v>-1551.7399999999998</v>
      </c>
      <c r="H25" s="171">
        <f t="shared" si="3"/>
        <v>83.36827438370847</v>
      </c>
      <c r="I25" s="172">
        <f t="shared" si="4"/>
        <v>-15030.74</v>
      </c>
      <c r="J25" s="172">
        <f t="shared" si="5"/>
        <v>34.10171423560875</v>
      </c>
      <c r="K25" s="173">
        <v>8413.21</v>
      </c>
      <c r="L25" s="164">
        <f t="shared" si="1"/>
        <v>-634.9499999999989</v>
      </c>
      <c r="M25" s="213">
        <f t="shared" si="2"/>
        <v>0.9245294007875711</v>
      </c>
      <c r="N25" s="193">
        <f>E25-березень!E25</f>
        <v>4380</v>
      </c>
      <c r="O25" s="177">
        <f>F25-березень!F25</f>
        <v>2564.3200000000006</v>
      </c>
      <c r="P25" s="175">
        <f t="shared" si="6"/>
        <v>-1815.6799999999994</v>
      </c>
      <c r="Q25" s="172">
        <f t="shared" si="7"/>
        <v>58.546118721461205</v>
      </c>
      <c r="R25" s="106">
        <v>3710</v>
      </c>
      <c r="S25" s="99">
        <f t="shared" si="8"/>
        <v>-1145.6799999999994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179.32</v>
      </c>
      <c r="G26" s="196">
        <f t="shared" si="0"/>
        <v>-370.68</v>
      </c>
      <c r="H26" s="197">
        <f t="shared" si="3"/>
        <v>32.60363636363636</v>
      </c>
      <c r="I26" s="198">
        <f t="shared" si="4"/>
        <v>-1642.98</v>
      </c>
      <c r="J26" s="198">
        <f t="shared" si="5"/>
        <v>9.84031169401306</v>
      </c>
      <c r="K26" s="198">
        <v>252.55</v>
      </c>
      <c r="L26" s="198">
        <f t="shared" si="1"/>
        <v>-73.23000000000002</v>
      </c>
      <c r="M26" s="226">
        <f t="shared" si="2"/>
        <v>0.7100376163136012</v>
      </c>
      <c r="N26" s="234">
        <f>E26-березень!E26</f>
        <v>300</v>
      </c>
      <c r="O26" s="234">
        <f>F26-березень!F26</f>
        <v>22.25</v>
      </c>
      <c r="P26" s="198">
        <f t="shared" si="6"/>
        <v>-277.75</v>
      </c>
      <c r="Q26" s="198">
        <f t="shared" si="7"/>
        <v>7.416666666666667</v>
      </c>
      <c r="R26" s="106"/>
      <c r="S26" s="99">
        <f t="shared" si="8"/>
        <v>22.25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7598.94</v>
      </c>
      <c r="G27" s="196">
        <f t="shared" si="0"/>
        <v>-1181.0600000000004</v>
      </c>
      <c r="H27" s="197">
        <f t="shared" si="3"/>
        <v>86.54829157175398</v>
      </c>
      <c r="I27" s="198">
        <f t="shared" si="4"/>
        <v>-13387.760000000002</v>
      </c>
      <c r="J27" s="198">
        <f t="shared" si="5"/>
        <v>36.20836053309953</v>
      </c>
      <c r="K27" s="198">
        <v>8160.66</v>
      </c>
      <c r="L27" s="198">
        <f t="shared" si="1"/>
        <v>-561.7200000000003</v>
      </c>
      <c r="M27" s="226">
        <f t="shared" si="2"/>
        <v>0.931167332054025</v>
      </c>
      <c r="N27" s="234">
        <f>E27-березень!E27</f>
        <v>4080</v>
      </c>
      <c r="O27" s="234">
        <f>F27-березень!F27</f>
        <v>2542.0699999999997</v>
      </c>
      <c r="P27" s="198">
        <f t="shared" si="6"/>
        <v>-1537.9300000000003</v>
      </c>
      <c r="Q27" s="198">
        <f t="shared" si="7"/>
        <v>62.30563725490196</v>
      </c>
      <c r="R27" s="106"/>
      <c r="S27" s="99">
        <f t="shared" si="8"/>
        <v>2542.0699999999997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75.35</v>
      </c>
      <c r="G28" s="169">
        <f t="shared" si="0"/>
        <v>-48.45</v>
      </c>
      <c r="H28" s="171">
        <f t="shared" si="3"/>
        <v>60.86429725363489</v>
      </c>
      <c r="I28" s="172">
        <f t="shared" si="4"/>
        <v>-744.65</v>
      </c>
      <c r="J28" s="172">
        <f t="shared" si="5"/>
        <v>9.189024390243903</v>
      </c>
      <c r="K28" s="172">
        <v>386.58</v>
      </c>
      <c r="L28" s="172">
        <f t="shared" si="1"/>
        <v>-311.23</v>
      </c>
      <c r="M28" s="210">
        <f t="shared" si="2"/>
        <v>0.19491437736044284</v>
      </c>
      <c r="N28" s="193">
        <f>E28-березень!E28</f>
        <v>68</v>
      </c>
      <c r="O28" s="177">
        <f>F28-березень!F28</f>
        <v>44.099999999999994</v>
      </c>
      <c r="P28" s="175">
        <f t="shared" si="6"/>
        <v>-23.900000000000006</v>
      </c>
      <c r="Q28" s="172">
        <f>O28/N28*100</f>
        <v>64.85294117647058</v>
      </c>
      <c r="R28" s="106">
        <v>7</v>
      </c>
      <c r="S28" s="99">
        <f t="shared" si="8"/>
        <v>37.099999999999994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49782.52</v>
      </c>
      <c r="G29" s="169">
        <f t="shared" si="0"/>
        <v>-8107.480000000003</v>
      </c>
      <c r="H29" s="171">
        <f t="shared" si="3"/>
        <v>85.99502504750389</v>
      </c>
      <c r="I29" s="172">
        <f t="shared" si="4"/>
        <v>-133209.48</v>
      </c>
      <c r="J29" s="172">
        <f t="shared" si="5"/>
        <v>27.20475212031127</v>
      </c>
      <c r="K29" s="173">
        <v>49236.46</v>
      </c>
      <c r="L29" s="173">
        <f t="shared" si="1"/>
        <v>546.0599999999977</v>
      </c>
      <c r="M29" s="209">
        <f t="shared" si="2"/>
        <v>1.0110905617503776</v>
      </c>
      <c r="N29" s="193">
        <f>E29-березень!E29</f>
        <v>15055</v>
      </c>
      <c r="O29" s="177">
        <f>F29-березень!F29</f>
        <v>6464.3499999999985</v>
      </c>
      <c r="P29" s="175">
        <f t="shared" si="6"/>
        <v>-8590.650000000001</v>
      </c>
      <c r="Q29" s="172">
        <f>O29/N29*100</f>
        <v>42.93822650282297</v>
      </c>
      <c r="R29" s="106">
        <v>15055</v>
      </c>
      <c r="S29" s="99">
        <f t="shared" si="8"/>
        <v>-8590.650000000001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15973.7</v>
      </c>
      <c r="G30" s="196">
        <f t="shared" si="0"/>
        <v>-1456.2999999999993</v>
      </c>
      <c r="H30" s="197">
        <f t="shared" si="3"/>
        <v>91.64486517498565</v>
      </c>
      <c r="I30" s="198">
        <f t="shared" si="4"/>
        <v>-41559.3</v>
      </c>
      <c r="J30" s="198">
        <f t="shared" si="5"/>
        <v>27.764413467053693</v>
      </c>
      <c r="K30" s="198">
        <v>15205.9</v>
      </c>
      <c r="L30" s="198">
        <f t="shared" si="1"/>
        <v>767.8000000000011</v>
      </c>
      <c r="M30" s="226">
        <f t="shared" si="2"/>
        <v>1.0504935584214024</v>
      </c>
      <c r="N30" s="234">
        <f>E30-березень!E30</f>
        <v>4600</v>
      </c>
      <c r="O30" s="234">
        <f>F30-березень!F30</f>
        <v>1538.2600000000002</v>
      </c>
      <c r="P30" s="198">
        <f t="shared" si="6"/>
        <v>-3061.74</v>
      </c>
      <c r="Q30" s="198">
        <f>O30/N30*100</f>
        <v>33.440434782608705</v>
      </c>
      <c r="R30" s="106"/>
      <c r="S30" s="99">
        <f t="shared" si="8"/>
        <v>1538.2600000000002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33808.81</v>
      </c>
      <c r="G31" s="196">
        <f t="shared" si="0"/>
        <v>-6651.190000000002</v>
      </c>
      <c r="H31" s="197">
        <f t="shared" si="3"/>
        <v>83.56107266435986</v>
      </c>
      <c r="I31" s="198">
        <f t="shared" si="4"/>
        <v>-91650.19</v>
      </c>
      <c r="J31" s="198">
        <f t="shared" si="5"/>
        <v>26.94809459664113</v>
      </c>
      <c r="K31" s="198">
        <v>34030.56</v>
      </c>
      <c r="L31" s="198">
        <f t="shared" si="1"/>
        <v>-221.75</v>
      </c>
      <c r="M31" s="226">
        <f t="shared" si="2"/>
        <v>0.9934837980920679</v>
      </c>
      <c r="N31" s="234">
        <f>E31-березень!E31</f>
        <v>10455</v>
      </c>
      <c r="O31" s="234">
        <f>F31-березень!F31</f>
        <v>4926.079999999998</v>
      </c>
      <c r="P31" s="198">
        <f t="shared" si="6"/>
        <v>-5528.920000000002</v>
      </c>
      <c r="Q31" s="198">
        <f>O31/N31*100</f>
        <v>47.11697752271638</v>
      </c>
      <c r="R31" s="106"/>
      <c r="S31" s="99">
        <f t="shared" si="8"/>
        <v>4926.079999999998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47.41</v>
      </c>
      <c r="G33" s="148">
        <f t="shared" si="0"/>
        <v>20.409999999999997</v>
      </c>
      <c r="H33" s="155">
        <f t="shared" si="3"/>
        <v>175.59259259259258</v>
      </c>
      <c r="I33" s="156">
        <f t="shared" si="4"/>
        <v>-67.59</v>
      </c>
      <c r="J33" s="156">
        <f t="shared" si="5"/>
        <v>41.22608695652173</v>
      </c>
      <c r="K33" s="156">
        <v>32.71</v>
      </c>
      <c r="L33" s="156">
        <f t="shared" si="1"/>
        <v>14.699999999999996</v>
      </c>
      <c r="M33" s="208">
        <f>F33/K33</f>
        <v>1.4494038520330172</v>
      </c>
      <c r="N33" s="155">
        <f>E33-березень!E33</f>
        <v>8</v>
      </c>
      <c r="O33" s="158">
        <f>F33-березень!F33</f>
        <v>10.209999999999994</v>
      </c>
      <c r="P33" s="159">
        <f t="shared" si="6"/>
        <v>2.2099999999999937</v>
      </c>
      <c r="Q33" s="156">
        <f>O33/N33*100</f>
        <v>127.62499999999991</v>
      </c>
      <c r="R33" s="106">
        <v>15</v>
      </c>
      <c r="S33" s="99">
        <f t="shared" si="8"/>
        <v>-4.790000000000006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-25.49</v>
      </c>
      <c r="G34" s="148">
        <f t="shared" si="0"/>
        <v>-25.49</v>
      </c>
      <c r="H34" s="155"/>
      <c r="I34" s="156">
        <f t="shared" si="4"/>
        <v>-25.49</v>
      </c>
      <c r="J34" s="156"/>
      <c r="K34" s="156">
        <v>-107.01</v>
      </c>
      <c r="L34" s="156">
        <f t="shared" si="1"/>
        <v>81.52000000000001</v>
      </c>
      <c r="M34" s="208">
        <f>F34/K34</f>
        <v>0.23820203719278568</v>
      </c>
      <c r="N34" s="155">
        <f>E34-березень!E34</f>
        <v>0</v>
      </c>
      <c r="O34" s="158">
        <f>F34-березень!F34</f>
        <v>-0.6699999999999982</v>
      </c>
      <c r="P34" s="159">
        <f t="shared" si="6"/>
        <v>-0.6699999999999982</v>
      </c>
      <c r="Q34" s="156"/>
      <c r="R34" s="106"/>
      <c r="S34" s="99">
        <f t="shared" si="8"/>
        <v>-0.6699999999999982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70841.09</v>
      </c>
      <c r="G35" s="160">
        <f t="shared" si="0"/>
        <v>-764.6100000000006</v>
      </c>
      <c r="H35" s="162">
        <f t="shared" si="3"/>
        <v>98.93219394545406</v>
      </c>
      <c r="I35" s="163">
        <f t="shared" si="4"/>
        <v>-123553.01000000001</v>
      </c>
      <c r="J35" s="163">
        <f t="shared" si="5"/>
        <v>36.44199592477344</v>
      </c>
      <c r="K35" s="176">
        <v>51820.56</v>
      </c>
      <c r="L35" s="176">
        <f>F35-K35</f>
        <v>19020.53</v>
      </c>
      <c r="M35" s="224">
        <f>F35/K35</f>
        <v>1.3670460141688936</v>
      </c>
      <c r="N35" s="155">
        <f>E35-березень!E35</f>
        <v>16827</v>
      </c>
      <c r="O35" s="158">
        <f>F35-березень!F35</f>
        <v>15444.469999999994</v>
      </c>
      <c r="P35" s="165">
        <f t="shared" si="6"/>
        <v>-1382.530000000006</v>
      </c>
      <c r="Q35" s="163">
        <f>O35/N35*100</f>
        <v>91.78385927378613</v>
      </c>
      <c r="R35" s="106">
        <v>16827</v>
      </c>
      <c r="S35" s="99">
        <f t="shared" si="8"/>
        <v>-1382.530000000006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13322.12</v>
      </c>
      <c r="G37" s="102">
        <f t="shared" si="0"/>
        <v>102.1200000000008</v>
      </c>
      <c r="H37" s="104">
        <f t="shared" si="3"/>
        <v>100.77246596066567</v>
      </c>
      <c r="I37" s="103">
        <f t="shared" si="4"/>
        <v>-27677.879999999997</v>
      </c>
      <c r="J37" s="103">
        <f t="shared" si="5"/>
        <v>32.492975609756094</v>
      </c>
      <c r="K37" s="126">
        <v>12484.76</v>
      </c>
      <c r="L37" s="126">
        <f t="shared" si="1"/>
        <v>837.3600000000006</v>
      </c>
      <c r="M37" s="214">
        <f t="shared" si="9"/>
        <v>1.0670705724419212</v>
      </c>
      <c r="N37" s="104">
        <f>E37-березень!E37</f>
        <v>2820</v>
      </c>
      <c r="O37" s="142">
        <f>F37-березень!F37</f>
        <v>2374.2000000000007</v>
      </c>
      <c r="P37" s="105">
        <f t="shared" si="6"/>
        <v>-445.7999999999993</v>
      </c>
      <c r="Q37" s="103">
        <f>O37/N37*100</f>
        <v>84.19148936170215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57502.45</v>
      </c>
      <c r="G38" s="102">
        <f t="shared" si="0"/>
        <v>-857.5500000000029</v>
      </c>
      <c r="H38" s="104">
        <f t="shared" si="3"/>
        <v>98.53058601782043</v>
      </c>
      <c r="I38" s="103">
        <f t="shared" si="4"/>
        <v>-95836.65000000001</v>
      </c>
      <c r="J38" s="103">
        <f t="shared" si="5"/>
        <v>37.50018749294863</v>
      </c>
      <c r="K38" s="126">
        <v>39321.61</v>
      </c>
      <c r="L38" s="126">
        <f t="shared" si="1"/>
        <v>18180.839999999997</v>
      </c>
      <c r="M38" s="214">
        <f t="shared" si="9"/>
        <v>1.4623625533135596</v>
      </c>
      <c r="N38" s="104">
        <f>E38-березень!E38</f>
        <v>14000</v>
      </c>
      <c r="O38" s="142">
        <f>F38-березень!F38</f>
        <v>13069.869999999995</v>
      </c>
      <c r="P38" s="105">
        <f t="shared" si="6"/>
        <v>-930.1300000000047</v>
      </c>
      <c r="Q38" s="103">
        <f>O38/N38*100</f>
        <v>93.35621428571426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16.52</v>
      </c>
      <c r="G39" s="102">
        <f t="shared" si="0"/>
        <v>-9.18</v>
      </c>
      <c r="H39" s="104">
        <f t="shared" si="3"/>
        <v>64.28015564202335</v>
      </c>
      <c r="I39" s="103">
        <f t="shared" si="4"/>
        <v>-38.480000000000004</v>
      </c>
      <c r="J39" s="103">
        <f t="shared" si="5"/>
        <v>30.03636363636363</v>
      </c>
      <c r="K39" s="126">
        <v>14.01</v>
      </c>
      <c r="L39" s="126">
        <f t="shared" si="1"/>
        <v>2.51</v>
      </c>
      <c r="M39" s="214">
        <f t="shared" si="9"/>
        <v>1.179157744468237</v>
      </c>
      <c r="N39" s="104">
        <f>E39-березень!E39</f>
        <v>7</v>
      </c>
      <c r="O39" s="142">
        <f>F39-березень!F39</f>
        <v>0.41000000000000014</v>
      </c>
      <c r="P39" s="105">
        <f t="shared" si="6"/>
        <v>-6.59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149">
        <f>F42+F43+F44+F45+F46+F48+F50+F51+F52+F53+F54+F59+F60+F64+F47</f>
        <v>19150.77</v>
      </c>
      <c r="G41" s="149">
        <f>G42+G43+G44+G45+G46+G48+G50+G51+G52+G53+G54+G59+G60+G64</f>
        <v>-250.74000000000046</v>
      </c>
      <c r="H41" s="150">
        <f>F41/E41*100</f>
        <v>98.5400704931951</v>
      </c>
      <c r="I41" s="151">
        <f>F41-D41</f>
        <v>-39874.229999999996</v>
      </c>
      <c r="J41" s="151">
        <f>F41/D41*100</f>
        <v>32.44518424396442</v>
      </c>
      <c r="K41" s="149">
        <v>16760.63</v>
      </c>
      <c r="L41" s="149">
        <f t="shared" si="1"/>
        <v>2390.1399999999994</v>
      </c>
      <c r="M41" s="203">
        <f t="shared" si="9"/>
        <v>1.142604424774009</v>
      </c>
      <c r="N41" s="149">
        <f>N42+N43+N44+N45+N46+N48+N50+N51+N52+N53+N54+N59+N60+N64+N47</f>
        <v>5120.8</v>
      </c>
      <c r="O41" s="149">
        <f>O42+O43+O44+O45+O46+O48+O50+O51+O52+O53+O54+O59+O60+O64+O47</f>
        <v>5276.529999999998</v>
      </c>
      <c r="P41" s="149">
        <f>P42+P43+P44+P45+P46+P48+P50+P51+P52+P53+P54+P59+P60+P64</f>
        <v>162.0299999999994</v>
      </c>
      <c r="Q41" s="149">
        <f>O41/N41*100</f>
        <v>103.04112638650207</v>
      </c>
      <c r="R41" s="15">
        <f>R42+R43+R44+R45+R46+R47+R48+R50+R51+R52+R53+R54+R59+R60+R64</f>
        <v>5581.6</v>
      </c>
      <c r="S41" s="15">
        <f>O41-R41</f>
        <v>-305.07000000000244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</v>
      </c>
      <c r="G43" s="160">
        <f aca="true" t="shared" si="12" ref="G43:G66">F43-E43</f>
        <v>-293.1400000000003</v>
      </c>
      <c r="H43" s="162">
        <f t="shared" si="10"/>
        <v>96.38098765432098</v>
      </c>
      <c r="I43" s="163">
        <f aca="true" t="shared" si="13" ref="I43:I66">F43-D43</f>
        <v>-22193.14</v>
      </c>
      <c r="J43" s="163">
        <f>F43/D43*100</f>
        <v>26.022866666666665</v>
      </c>
      <c r="K43" s="163">
        <v>6753.41</v>
      </c>
      <c r="L43" s="163">
        <f t="shared" si="1"/>
        <v>1053.4499999999998</v>
      </c>
      <c r="M43" s="216"/>
      <c r="N43" s="162">
        <f>E43-березень!E43</f>
        <v>2800</v>
      </c>
      <c r="O43" s="166">
        <f>F43-березень!F43</f>
        <v>3105.0199999999995</v>
      </c>
      <c r="P43" s="165">
        <f aca="true" t="shared" si="14" ref="P43:P66">O43-N43</f>
        <v>305.0199999999995</v>
      </c>
      <c r="Q43" s="163">
        <f t="shared" si="11"/>
        <v>110.89357142857142</v>
      </c>
      <c r="R43" s="36">
        <v>3105</v>
      </c>
      <c r="S43" s="36">
        <f aca="true" t="shared" si="15" ref="S43:S66">O43-R43</f>
        <v>0.019999999999527063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</v>
      </c>
      <c r="G44" s="160">
        <f t="shared" si="12"/>
        <v>62.8</v>
      </c>
      <c r="H44" s="162">
        <f>F44/E44*100</f>
        <v>413.99999999999994</v>
      </c>
      <c r="I44" s="163">
        <f t="shared" si="13"/>
        <v>42.8</v>
      </c>
      <c r="J44" s="163">
        <f aca="true" t="shared" si="16" ref="J44:J65">F44/D44*100</f>
        <v>206.99999999999997</v>
      </c>
      <c r="K44" s="163">
        <v>27.51</v>
      </c>
      <c r="L44" s="163">
        <f t="shared" si="1"/>
        <v>55.28999999999999</v>
      </c>
      <c r="M44" s="216">
        <f aca="true" t="shared" si="17" ref="M44:M66">F44/K44</f>
        <v>3.009814612868048</v>
      </c>
      <c r="N44" s="162">
        <f>E44-березень!E44</f>
        <v>1</v>
      </c>
      <c r="O44" s="166">
        <f>F44-березень!F44</f>
        <v>10.719999999999999</v>
      </c>
      <c r="P44" s="165">
        <f t="shared" si="14"/>
        <v>9.719999999999999</v>
      </c>
      <c r="Q44" s="163">
        <f t="shared" si="11"/>
        <v>1072</v>
      </c>
      <c r="R44" s="36">
        <v>1</v>
      </c>
      <c r="S44" s="36">
        <f t="shared" si="15"/>
        <v>9.719999999999999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370.23</v>
      </c>
      <c r="G46" s="160">
        <f t="shared" si="12"/>
        <v>286.23</v>
      </c>
      <c r="H46" s="162">
        <f t="shared" si="10"/>
        <v>440.75000000000006</v>
      </c>
      <c r="I46" s="163">
        <f t="shared" si="13"/>
        <v>110.23000000000002</v>
      </c>
      <c r="J46" s="163">
        <f t="shared" si="16"/>
        <v>142.39615384615385</v>
      </c>
      <c r="K46" s="163">
        <v>34.2</v>
      </c>
      <c r="L46" s="163">
        <f t="shared" si="1"/>
        <v>336.03000000000003</v>
      </c>
      <c r="M46" s="216">
        <f t="shared" si="17"/>
        <v>10.825438596491228</v>
      </c>
      <c r="N46" s="162">
        <f>E46-березень!E46</f>
        <v>22</v>
      </c>
      <c r="O46" s="166">
        <f>F46-березень!F46</f>
        <v>92.47000000000003</v>
      </c>
      <c r="P46" s="165">
        <f t="shared" si="14"/>
        <v>70.47000000000003</v>
      </c>
      <c r="Q46" s="163">
        <f t="shared" si="11"/>
        <v>420.3181818181819</v>
      </c>
      <c r="R46" s="36">
        <v>22</v>
      </c>
      <c r="S46" s="36">
        <f t="shared" si="15"/>
        <v>70.47000000000003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377.31</v>
      </c>
      <c r="G48" s="160">
        <f t="shared" si="12"/>
        <v>37.31</v>
      </c>
      <c r="H48" s="162">
        <f t="shared" si="10"/>
        <v>110.9735294117647</v>
      </c>
      <c r="I48" s="163">
        <f t="shared" si="13"/>
        <v>-352.69</v>
      </c>
      <c r="J48" s="163">
        <f t="shared" si="16"/>
        <v>51.68630136986302</v>
      </c>
      <c r="K48" s="163">
        <v>0</v>
      </c>
      <c r="L48" s="163">
        <f t="shared" si="1"/>
        <v>377.31</v>
      </c>
      <c r="M48" s="216"/>
      <c r="N48" s="162">
        <f>E48-березень!E48</f>
        <v>60</v>
      </c>
      <c r="O48" s="166">
        <f>F48-березень!F48</f>
        <v>76.36000000000001</v>
      </c>
      <c r="P48" s="165">
        <f t="shared" si="14"/>
        <v>16.360000000000014</v>
      </c>
      <c r="Q48" s="163">
        <f t="shared" si="11"/>
        <v>127.26666666666668</v>
      </c>
      <c r="R48" s="36">
        <v>100</v>
      </c>
      <c r="S48" s="36">
        <f t="shared" si="15"/>
        <v>-23.639999999999986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4509.01</v>
      </c>
      <c r="G50" s="160">
        <f t="shared" si="12"/>
        <v>269.0100000000002</v>
      </c>
      <c r="H50" s="162">
        <f t="shared" si="10"/>
        <v>106.3445754716981</v>
      </c>
      <c r="I50" s="163">
        <f t="shared" si="13"/>
        <v>-6490.99</v>
      </c>
      <c r="J50" s="163">
        <f t="shared" si="16"/>
        <v>40.991</v>
      </c>
      <c r="K50" s="163">
        <v>3201.41</v>
      </c>
      <c r="L50" s="163">
        <f t="shared" si="1"/>
        <v>1307.6000000000004</v>
      </c>
      <c r="M50" s="216">
        <f t="shared" si="17"/>
        <v>1.408445028909137</v>
      </c>
      <c r="N50" s="162">
        <f>E50-березень!E50</f>
        <v>900</v>
      </c>
      <c r="O50" s="166">
        <f>F50-березень!F50</f>
        <v>924.0700000000002</v>
      </c>
      <c r="P50" s="165">
        <f t="shared" si="14"/>
        <v>24.070000000000164</v>
      </c>
      <c r="Q50" s="163">
        <f t="shared" si="11"/>
        <v>102.67444444444448</v>
      </c>
      <c r="R50" s="36">
        <v>1200</v>
      </c>
      <c r="S50" s="36">
        <f t="shared" si="15"/>
        <v>-275.92999999999984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168.85</v>
      </c>
      <c r="G51" s="160">
        <f t="shared" si="12"/>
        <v>68.85</v>
      </c>
      <c r="H51" s="162">
        <f t="shared" si="10"/>
        <v>168.85</v>
      </c>
      <c r="I51" s="163">
        <f t="shared" si="13"/>
        <v>-141.15</v>
      </c>
      <c r="J51" s="163">
        <f t="shared" si="16"/>
        <v>54.46774193548387</v>
      </c>
      <c r="K51" s="163">
        <v>1.37</v>
      </c>
      <c r="L51" s="163">
        <f t="shared" si="1"/>
        <v>167.48</v>
      </c>
      <c r="M51" s="216"/>
      <c r="N51" s="162">
        <f>E51-березень!E51</f>
        <v>25</v>
      </c>
      <c r="O51" s="166">
        <f>F51-березень!F51</f>
        <v>33.650000000000006</v>
      </c>
      <c r="P51" s="165">
        <f t="shared" si="14"/>
        <v>8.650000000000006</v>
      </c>
      <c r="Q51" s="163">
        <f t="shared" si="11"/>
        <v>134.60000000000002</v>
      </c>
      <c r="R51" s="36">
        <v>45</v>
      </c>
      <c r="S51" s="36">
        <f t="shared" si="15"/>
        <v>-11.349999999999994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</v>
      </c>
      <c r="G53" s="160">
        <f t="shared" si="12"/>
        <v>-242.30000000000018</v>
      </c>
      <c r="H53" s="162">
        <f t="shared" si="10"/>
        <v>90.02880658436213</v>
      </c>
      <c r="I53" s="163">
        <f t="shared" si="13"/>
        <v>-5087.3</v>
      </c>
      <c r="J53" s="163">
        <f t="shared" si="16"/>
        <v>30.07147766323024</v>
      </c>
      <c r="K53" s="163">
        <v>2631.35</v>
      </c>
      <c r="L53" s="163">
        <f t="shared" si="1"/>
        <v>-443.6500000000001</v>
      </c>
      <c r="M53" s="216">
        <f t="shared" si="17"/>
        <v>0.8313983316548539</v>
      </c>
      <c r="N53" s="162">
        <f>E53-березень!E53</f>
        <v>610</v>
      </c>
      <c r="O53" s="166">
        <f>F53-березень!F53</f>
        <v>562.6099999999999</v>
      </c>
      <c r="P53" s="165">
        <f t="shared" si="14"/>
        <v>-47.3900000000001</v>
      </c>
      <c r="Q53" s="163">
        <f t="shared" si="11"/>
        <v>92.2311475409836</v>
      </c>
      <c r="R53" s="36">
        <v>562.6</v>
      </c>
      <c r="S53" s="36">
        <f t="shared" si="15"/>
        <v>0.009999999999877218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278.61</v>
      </c>
      <c r="G54" s="160">
        <f t="shared" si="12"/>
        <v>-51.389999999999986</v>
      </c>
      <c r="H54" s="162">
        <f t="shared" si="10"/>
        <v>84.42727272727272</v>
      </c>
      <c r="I54" s="163">
        <f t="shared" si="13"/>
        <v>-921.39</v>
      </c>
      <c r="J54" s="163">
        <f t="shared" si="16"/>
        <v>23.2175</v>
      </c>
      <c r="K54" s="163">
        <v>1998.74</v>
      </c>
      <c r="L54" s="163">
        <f t="shared" si="1"/>
        <v>-1720.13</v>
      </c>
      <c r="M54" s="216">
        <f t="shared" si="17"/>
        <v>0.13939281747500926</v>
      </c>
      <c r="N54" s="162">
        <f>E54-березень!E54</f>
        <v>95</v>
      </c>
      <c r="O54" s="166">
        <f>F54-березень!F54</f>
        <v>32.610000000000014</v>
      </c>
      <c r="P54" s="165">
        <f t="shared" si="14"/>
        <v>-62.389999999999986</v>
      </c>
      <c r="Q54" s="163">
        <f t="shared" si="11"/>
        <v>34.326315789473696</v>
      </c>
      <c r="R54" s="36">
        <v>95</v>
      </c>
      <c r="S54" s="36">
        <f t="shared" si="15"/>
        <v>-62.389999999999986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246.61</v>
      </c>
      <c r="G55" s="33">
        <f t="shared" si="12"/>
        <v>-23.389999999999986</v>
      </c>
      <c r="H55" s="29">
        <f t="shared" si="10"/>
        <v>91.33703703703704</v>
      </c>
      <c r="I55" s="103">
        <f t="shared" si="13"/>
        <v>-751.39</v>
      </c>
      <c r="J55" s="103">
        <f t="shared" si="16"/>
        <v>24.710420841683366</v>
      </c>
      <c r="K55" s="103">
        <v>235.42</v>
      </c>
      <c r="L55" s="103">
        <f>F55-K55</f>
        <v>11.190000000000026</v>
      </c>
      <c r="M55" s="108">
        <f t="shared" si="17"/>
        <v>1.047532070342367</v>
      </c>
      <c r="N55" s="104">
        <f>E55-березень!E55</f>
        <v>80</v>
      </c>
      <c r="O55" s="142">
        <f>F55-березень!F55</f>
        <v>25.670000000000016</v>
      </c>
      <c r="P55" s="105">
        <f t="shared" si="14"/>
        <v>-54.329999999999984</v>
      </c>
      <c r="Q55" s="118">
        <f t="shared" si="11"/>
        <v>32.08750000000002</v>
      </c>
      <c r="R55" s="36"/>
      <c r="S55" s="36">
        <f t="shared" si="15"/>
        <v>25.670000000000016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31.88</v>
      </c>
      <c r="G58" s="33">
        <f t="shared" si="12"/>
        <v>-28.12</v>
      </c>
      <c r="H58" s="29">
        <f t="shared" si="10"/>
        <v>53.13333333333333</v>
      </c>
      <c r="I58" s="103">
        <f t="shared" si="13"/>
        <v>-168.12</v>
      </c>
      <c r="J58" s="103">
        <f t="shared" si="16"/>
        <v>15.939999999999998</v>
      </c>
      <c r="K58" s="103">
        <v>1763.16</v>
      </c>
      <c r="L58" s="103">
        <f>F58-K58</f>
        <v>-1731.28</v>
      </c>
      <c r="M58" s="108">
        <f t="shared" si="17"/>
        <v>0.018081172440391115</v>
      </c>
      <c r="N58" s="104">
        <f>E58-березень!E58</f>
        <v>15</v>
      </c>
      <c r="O58" s="142">
        <f>F58-березень!F58</f>
        <v>6.919999999999998</v>
      </c>
      <c r="P58" s="105">
        <f t="shared" si="14"/>
        <v>-8.080000000000002</v>
      </c>
      <c r="Q58" s="118">
        <f t="shared" si="11"/>
        <v>46.13333333333332</v>
      </c>
      <c r="R58" s="36"/>
      <c r="S58" s="36">
        <f t="shared" si="15"/>
        <v>6.919999999999998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3479.18</v>
      </c>
      <c r="G60" s="160">
        <f t="shared" si="12"/>
        <v>-180.82000000000016</v>
      </c>
      <c r="H60" s="162">
        <f t="shared" si="10"/>
        <v>95.05956284153005</v>
      </c>
      <c r="I60" s="163">
        <f t="shared" si="13"/>
        <v>-3870.82</v>
      </c>
      <c r="J60" s="163">
        <f t="shared" si="16"/>
        <v>47.33578231292517</v>
      </c>
      <c r="K60" s="163">
        <v>1974.46</v>
      </c>
      <c r="L60" s="163">
        <f aca="true" t="shared" si="18" ref="L60:L66">F60-K60</f>
        <v>1504.7199999999998</v>
      </c>
      <c r="M60" s="216">
        <f t="shared" si="17"/>
        <v>1.7620919137384397</v>
      </c>
      <c r="N60" s="162">
        <f>E60-березень!E60</f>
        <v>600</v>
      </c>
      <c r="O60" s="166">
        <f>F60-березень!F60</f>
        <v>403.4499999999998</v>
      </c>
      <c r="P60" s="165">
        <f t="shared" si="14"/>
        <v>-196.55000000000018</v>
      </c>
      <c r="Q60" s="163">
        <f t="shared" si="11"/>
        <v>67.24166666666663</v>
      </c>
      <c r="R60" s="36">
        <v>450</v>
      </c>
      <c r="S60" s="36">
        <f t="shared" si="15"/>
        <v>-46.55000000000018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630.69</v>
      </c>
      <c r="G62" s="160"/>
      <c r="H62" s="162"/>
      <c r="I62" s="163"/>
      <c r="J62" s="163"/>
      <c r="K62" s="164">
        <v>387.1</v>
      </c>
      <c r="L62" s="163">
        <f t="shared" si="18"/>
        <v>243.59000000000003</v>
      </c>
      <c r="M62" s="216">
        <f t="shared" si="17"/>
        <v>1.629268922758977</v>
      </c>
      <c r="N62" s="193"/>
      <c r="O62" s="177">
        <f>F62-березень!F62</f>
        <v>202.96000000000004</v>
      </c>
      <c r="P62" s="164"/>
      <c r="Q62" s="163"/>
      <c r="R62" s="36"/>
      <c r="S62" s="36">
        <f t="shared" si="15"/>
        <v>202.96000000000004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</v>
      </c>
      <c r="G64" s="160">
        <f t="shared" si="12"/>
        <v>44.64</v>
      </c>
      <c r="H64" s="162">
        <f t="shared" si="10"/>
        <v>546.4000000000001</v>
      </c>
      <c r="I64" s="163">
        <f t="shared" si="13"/>
        <v>-105.36</v>
      </c>
      <c r="J64" s="163">
        <f t="shared" si="16"/>
        <v>34.150000000000006</v>
      </c>
      <c r="K64" s="163">
        <v>33.09</v>
      </c>
      <c r="L64" s="163">
        <f t="shared" si="18"/>
        <v>21.549999999999997</v>
      </c>
      <c r="M64" s="216">
        <f t="shared" si="17"/>
        <v>1.6512541553339375</v>
      </c>
      <c r="N64" s="162">
        <f>E64-березень!E64</f>
        <v>0</v>
      </c>
      <c r="O64" s="166">
        <f>F64-березень!F64</f>
        <v>21.75</v>
      </c>
      <c r="P64" s="165">
        <f t="shared" si="14"/>
        <v>21.75</v>
      </c>
      <c r="Q64" s="163"/>
      <c r="R64" s="36">
        <v>0</v>
      </c>
      <c r="S64" s="36">
        <f t="shared" si="15"/>
        <v>21.75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14.99</v>
      </c>
      <c r="G65" s="160">
        <f t="shared" si="12"/>
        <v>9.89</v>
      </c>
      <c r="H65" s="162">
        <f t="shared" si="10"/>
        <v>293.921568627451</v>
      </c>
      <c r="I65" s="163">
        <f t="shared" si="13"/>
        <v>-0.009999999999999787</v>
      </c>
      <c r="J65" s="163">
        <f t="shared" si="16"/>
        <v>99.93333333333332</v>
      </c>
      <c r="K65" s="163">
        <v>13.52</v>
      </c>
      <c r="L65" s="163">
        <f t="shared" si="18"/>
        <v>1.4700000000000006</v>
      </c>
      <c r="M65" s="216">
        <f t="shared" si="17"/>
        <v>1.1087278106508875</v>
      </c>
      <c r="N65" s="162">
        <f>E65-березень!E65</f>
        <v>1.3999999999999995</v>
      </c>
      <c r="O65" s="166">
        <f>F65-березень!F65</f>
        <v>0.7200000000000006</v>
      </c>
      <c r="P65" s="165">
        <f t="shared" si="14"/>
        <v>-0.6799999999999988</v>
      </c>
      <c r="Q65" s="163">
        <f t="shared" si="11"/>
        <v>51.42857142857149</v>
      </c>
      <c r="R65" s="36">
        <v>3.2</v>
      </c>
      <c r="S65" s="36">
        <f t="shared" si="15"/>
        <v>-2.4799999999999995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149">
        <f>F8+F41+F65+F66</f>
        <v>386833.83999999997</v>
      </c>
      <c r="G67" s="149">
        <f>F67-E67</f>
        <v>-30583.26000000001</v>
      </c>
      <c r="H67" s="150">
        <f>F67/E67*100</f>
        <v>92.6732134356738</v>
      </c>
      <c r="I67" s="151">
        <f>F67-D67</f>
        <v>-970657.2600000001</v>
      </c>
      <c r="J67" s="151">
        <f>F67/D67*100</f>
        <v>28.496233971626033</v>
      </c>
      <c r="K67" s="151">
        <v>310905.14</v>
      </c>
      <c r="L67" s="151">
        <f>F67-K67</f>
        <v>75928.69999999995</v>
      </c>
      <c r="M67" s="217">
        <f>F67/K67</f>
        <v>1.2442182203870928</v>
      </c>
      <c r="N67" s="149">
        <f>N8+N41+N65+N66</f>
        <v>110560.2</v>
      </c>
      <c r="O67" s="149">
        <f>O8+O41+O65+O66</f>
        <v>79404.84000000001</v>
      </c>
      <c r="P67" s="153">
        <f>O67-N67</f>
        <v>-31155.359999999986</v>
      </c>
      <c r="Q67" s="151">
        <f>O67/N67*100</f>
        <v>71.82045618586075</v>
      </c>
      <c r="R67" s="26">
        <f>R8+R41+R65+R66</f>
        <v>110624.8</v>
      </c>
      <c r="S67" s="278">
        <f>O67-R67</f>
        <v>-31219.959999999992</v>
      </c>
      <c r="T67" s="278"/>
      <c r="U67" s="114">
        <f>O67/34768</f>
        <v>2.283848366313852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aca="true" t="shared" si="19" ref="G76:G87">F76-E76</f>
        <v>0.12</v>
      </c>
      <c r="H76" s="162"/>
      <c r="I76" s="165">
        <f aca="true" t="shared" si="20" ref="I76:I87">F76-D76</f>
        <v>-104205.91</v>
      </c>
      <c r="J76" s="165">
        <f>F76/D76*100</f>
        <v>0.00011515648374666994</v>
      </c>
      <c r="K76" s="165">
        <v>300.88</v>
      </c>
      <c r="L76" s="165">
        <f aca="true" t="shared" si="21" ref="L76:L87">F76-K76</f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aca="true" t="shared" si="22" ref="P76:P89">O76-N76</f>
        <v>0.009999999999999995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291.67</v>
      </c>
      <c r="G77" s="160">
        <f t="shared" si="19"/>
        <v>-8138.33</v>
      </c>
      <c r="H77" s="162">
        <f>F77/E77*100</f>
        <v>3.4599051008303676</v>
      </c>
      <c r="I77" s="165">
        <f t="shared" si="20"/>
        <v>-53708.33</v>
      </c>
      <c r="J77" s="165">
        <f>F77/D77*100</f>
        <v>0.5401296296296296</v>
      </c>
      <c r="K77" s="165">
        <v>472.26</v>
      </c>
      <c r="L77" s="165">
        <f t="shared" si="21"/>
        <v>-180.58999999999997</v>
      </c>
      <c r="M77" s="207">
        <f>F77/K77</f>
        <v>0.6176047092703173</v>
      </c>
      <c r="N77" s="162">
        <f>E77-березень!E77</f>
        <v>3600</v>
      </c>
      <c r="O77" s="166">
        <f>F77-березень!F77</f>
        <v>124.47000000000003</v>
      </c>
      <c r="P77" s="165">
        <f t="shared" si="22"/>
        <v>-3475.5299999999997</v>
      </c>
      <c r="Q77" s="165">
        <f>O77/N77*100</f>
        <v>3.457500000000001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1731.12</v>
      </c>
      <c r="G78" s="160">
        <f t="shared" si="19"/>
        <v>-6768.88</v>
      </c>
      <c r="H78" s="162">
        <f>F78/E78*100</f>
        <v>20.36611764705882</v>
      </c>
      <c r="I78" s="165">
        <f t="shared" si="20"/>
        <v>-77268.88</v>
      </c>
      <c r="J78" s="165">
        <f>F78/D78*100</f>
        <v>2.1912911392405063</v>
      </c>
      <c r="K78" s="165">
        <v>8810.08</v>
      </c>
      <c r="L78" s="165">
        <f t="shared" si="21"/>
        <v>-7078.96</v>
      </c>
      <c r="M78" s="207">
        <f>F78/K78</f>
        <v>0.19649310789459346</v>
      </c>
      <c r="N78" s="162">
        <f>E78-березень!E78</f>
        <v>3850</v>
      </c>
      <c r="O78" s="166">
        <f>F78-березень!F78</f>
        <v>516.8799999999999</v>
      </c>
      <c r="P78" s="165">
        <f t="shared" si="22"/>
        <v>-3333.12</v>
      </c>
      <c r="Q78" s="165">
        <f>O78/N78*100</f>
        <v>13.425454545454544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4</v>
      </c>
      <c r="G79" s="160">
        <f t="shared" si="19"/>
        <v>0</v>
      </c>
      <c r="H79" s="162">
        <f>F79/E79*100</f>
        <v>100</v>
      </c>
      <c r="I79" s="165">
        <f t="shared" si="20"/>
        <v>-8</v>
      </c>
      <c r="J79" s="165">
        <f>F79/D79*100</f>
        <v>33.33333333333333</v>
      </c>
      <c r="K79" s="165">
        <v>4</v>
      </c>
      <c r="L79" s="165">
        <f t="shared" si="21"/>
        <v>0</v>
      </c>
      <c r="M79" s="207"/>
      <c r="N79" s="162">
        <f>E79-березень!E79</f>
        <v>1</v>
      </c>
      <c r="O79" s="166">
        <f>F79-березень!F79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2026.9099999999999</v>
      </c>
      <c r="G80" s="183">
        <f t="shared" si="19"/>
        <v>-14907.09</v>
      </c>
      <c r="H80" s="184">
        <f>F80/E80*100</f>
        <v>11.969469705917088</v>
      </c>
      <c r="I80" s="185">
        <f t="shared" si="20"/>
        <v>-235191.12</v>
      </c>
      <c r="J80" s="185">
        <f>F80/D80*100</f>
        <v>0.8544502287621223</v>
      </c>
      <c r="K80" s="185">
        <v>9587.22</v>
      </c>
      <c r="L80" s="185">
        <f t="shared" si="21"/>
        <v>-7560.3099999999995</v>
      </c>
      <c r="M80" s="212">
        <f>F80/K80</f>
        <v>0.2114179084239227</v>
      </c>
      <c r="N80" s="183">
        <f>N76+N77+N78+N79</f>
        <v>7451</v>
      </c>
      <c r="O80" s="187">
        <f>O76+O77+O78+O79</f>
        <v>642.3599999999999</v>
      </c>
      <c r="P80" s="185">
        <f t="shared" si="22"/>
        <v>-6808.64</v>
      </c>
      <c r="Q80" s="185">
        <f>O80/N80*100</f>
        <v>8.621124681250837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</v>
      </c>
      <c r="G81" s="160">
        <f t="shared" si="19"/>
        <v>6.5</v>
      </c>
      <c r="H81" s="162"/>
      <c r="I81" s="165">
        <f t="shared" si="20"/>
        <v>-31</v>
      </c>
      <c r="J81" s="165"/>
      <c r="K81" s="165">
        <v>3.06</v>
      </c>
      <c r="L81" s="165">
        <f t="shared" si="21"/>
        <v>5.9399999999999995</v>
      </c>
      <c r="M81" s="207">
        <f>F81/K81</f>
        <v>2.941176470588235</v>
      </c>
      <c r="N81" s="162">
        <f>E81-березень!E81</f>
        <v>2</v>
      </c>
      <c r="O81" s="166">
        <f>F81-березень!F81</f>
        <v>0.22000000000000064</v>
      </c>
      <c r="P81" s="165">
        <f t="shared" si="22"/>
        <v>-1.7799999999999994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2227.87</v>
      </c>
      <c r="G83" s="160">
        <f t="shared" si="19"/>
        <v>-137.32999999999993</v>
      </c>
      <c r="H83" s="162">
        <f>F83/E83*100</f>
        <v>94.19372568915948</v>
      </c>
      <c r="I83" s="165">
        <f t="shared" si="20"/>
        <v>-6132.13</v>
      </c>
      <c r="J83" s="165">
        <f>F83/D83*100</f>
        <v>26.649162679425835</v>
      </c>
      <c r="K83" s="165">
        <v>2035.53</v>
      </c>
      <c r="L83" s="165">
        <f t="shared" si="21"/>
        <v>192.33999999999992</v>
      </c>
      <c r="M83" s="207"/>
      <c r="N83" s="162">
        <f>E83-березень!E83</f>
        <v>8.899999999999636</v>
      </c>
      <c r="O83" s="166">
        <f>F83-березень!F83</f>
        <v>9.920000000000073</v>
      </c>
      <c r="P83" s="165">
        <f>O83-N83</f>
        <v>1.0200000000004366</v>
      </c>
      <c r="Q83" s="188">
        <f>O83/N83*100</f>
        <v>111.46067415730873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2236.9</v>
      </c>
      <c r="G85" s="181">
        <f>G81+G84+G82+G83</f>
        <v>-130.79999999999993</v>
      </c>
      <c r="H85" s="184">
        <f>F85/E85*100</f>
        <v>94.47565147611607</v>
      </c>
      <c r="I85" s="185">
        <f t="shared" si="20"/>
        <v>-6163.1</v>
      </c>
      <c r="J85" s="185">
        <f>F85/D85*100</f>
        <v>26.629761904761907</v>
      </c>
      <c r="K85" s="185">
        <v>2039.11</v>
      </c>
      <c r="L85" s="185">
        <f t="shared" si="21"/>
        <v>197.7900000000002</v>
      </c>
      <c r="M85" s="218">
        <f t="shared" si="23"/>
        <v>1.0969982001951832</v>
      </c>
      <c r="N85" s="183">
        <f>N81+N84+N82+N83</f>
        <v>10.899999999999636</v>
      </c>
      <c r="O85" s="187">
        <f>O81+O84+O82+O83</f>
        <v>10.140000000000073</v>
      </c>
      <c r="P85" s="183">
        <f>P81+P84+P82+P83</f>
        <v>-0.7599999999995628</v>
      </c>
      <c r="Q85" s="185">
        <f>O85/N85*100</f>
        <v>93.0275229357836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7.31</v>
      </c>
      <c r="G86" s="160">
        <f t="shared" si="19"/>
        <v>-6.79</v>
      </c>
      <c r="H86" s="162">
        <f>F86/E86*100</f>
        <v>51.843971631205676</v>
      </c>
      <c r="I86" s="165">
        <f t="shared" si="20"/>
        <v>-30.69</v>
      </c>
      <c r="J86" s="165">
        <f>F86/D86*100</f>
        <v>19.236842105263158</v>
      </c>
      <c r="K86" s="165">
        <v>9.19</v>
      </c>
      <c r="L86" s="165">
        <f t="shared" si="21"/>
        <v>-1.88</v>
      </c>
      <c r="M86" s="207">
        <f t="shared" si="23"/>
        <v>0.795429815016322</v>
      </c>
      <c r="N86" s="162">
        <f>E86-березень!E86</f>
        <v>1.1999999999999993</v>
      </c>
      <c r="O86" s="166">
        <f>F86-березень!F86</f>
        <v>0.1899999999999995</v>
      </c>
      <c r="P86" s="165">
        <f t="shared" si="22"/>
        <v>-1.0099999999999998</v>
      </c>
      <c r="Q86" s="165">
        <f>O86/N86</f>
        <v>0.15833333333333302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4306.7</v>
      </c>
      <c r="G88" s="190">
        <f>F88-E88</f>
        <v>-15009.099999999999</v>
      </c>
      <c r="H88" s="191">
        <f>F88/E88*100</f>
        <v>22.296254879425135</v>
      </c>
      <c r="I88" s="192">
        <f>F88-D88</f>
        <v>-241349.33</v>
      </c>
      <c r="J88" s="192">
        <f>F88/D88*100</f>
        <v>1.7531423918232334</v>
      </c>
      <c r="K88" s="192">
        <v>11639.75</v>
      </c>
      <c r="L88" s="192">
        <f>F88-K88</f>
        <v>-7333.05</v>
      </c>
      <c r="M88" s="219">
        <f t="shared" si="23"/>
        <v>0.3699993556562641</v>
      </c>
      <c r="N88" s="189">
        <f>N74+N86+N80+N85+N87</f>
        <v>7463.099999999999</v>
      </c>
      <c r="O88" s="189">
        <f>O74+O86+O80+O85+O87</f>
        <v>652.69</v>
      </c>
      <c r="P88" s="192">
        <f t="shared" si="22"/>
        <v>-6810.41</v>
      </c>
      <c r="Q88" s="192">
        <f>O88/N88*100</f>
        <v>8.745561495893128</v>
      </c>
      <c r="R88" s="26">
        <f>O88-8104.96</f>
        <v>-7452.27</v>
      </c>
      <c r="S88" s="26"/>
      <c r="T88" s="26"/>
      <c r="U88" s="94">
        <f>O88/8104.96</f>
        <v>0.08052970033164877</v>
      </c>
    </row>
    <row r="89" spans="2:21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391140.54</v>
      </c>
      <c r="G89" s="190">
        <f>F89-E89</f>
        <v>-45592.359999999986</v>
      </c>
      <c r="H89" s="191">
        <f>F89/E89*100</f>
        <v>89.56058497081398</v>
      </c>
      <c r="I89" s="192">
        <f>F89-D89</f>
        <v>-1212006.59</v>
      </c>
      <c r="J89" s="192">
        <f>F89/D89*100</f>
        <v>24.39829337435797</v>
      </c>
      <c r="K89" s="192">
        <f>K67+K88</f>
        <v>322544.89</v>
      </c>
      <c r="L89" s="192">
        <f>F89-K89</f>
        <v>68595.64999999997</v>
      </c>
      <c r="M89" s="219">
        <f t="shared" si="23"/>
        <v>1.2126700875651757</v>
      </c>
      <c r="N89" s="190">
        <f>N67+N88</f>
        <v>118023.3</v>
      </c>
      <c r="O89" s="190">
        <f>O67+O88</f>
        <v>80057.53000000001</v>
      </c>
      <c r="P89" s="192">
        <f t="shared" si="22"/>
        <v>-37965.76999999999</v>
      </c>
      <c r="Q89" s="192">
        <f>O89/N89*100</f>
        <v>67.8319704668485</v>
      </c>
      <c r="R89" s="26">
        <f>O89-42872.96</f>
        <v>37184.570000000014</v>
      </c>
      <c r="S89" s="26"/>
      <c r="T89" s="26"/>
      <c r="U89" s="94">
        <f>O89/42872.96</f>
        <v>1.8673198678141192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3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10385.119999999995</v>
      </c>
      <c r="D92" s="4" t="s">
        <v>24</v>
      </c>
      <c r="G92" s="309"/>
      <c r="H92" s="309"/>
      <c r="I92" s="309"/>
      <c r="J92" s="309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42850</v>
      </c>
      <c r="D93" s="28">
        <v>4407.88</v>
      </c>
      <c r="G93" s="4" t="s">
        <v>58</v>
      </c>
      <c r="O93" s="310"/>
      <c r="P93" s="310"/>
    </row>
    <row r="94" spans="3:16" ht="15">
      <c r="C94" s="80">
        <v>42849</v>
      </c>
      <c r="D94" s="28">
        <v>3415.2</v>
      </c>
      <c r="F94" s="112" t="s">
        <v>58</v>
      </c>
      <c r="G94" s="313"/>
      <c r="H94" s="313"/>
      <c r="I94" s="117"/>
      <c r="J94" s="314"/>
      <c r="K94" s="314"/>
      <c r="L94" s="314"/>
      <c r="M94" s="314"/>
      <c r="N94" s="314"/>
      <c r="O94" s="310"/>
      <c r="P94" s="310"/>
    </row>
    <row r="95" spans="3:16" ht="15.75" customHeight="1">
      <c r="C95" s="80">
        <v>42846</v>
      </c>
      <c r="D95" s="28">
        <v>6267.35</v>
      </c>
      <c r="F95" s="67"/>
      <c r="G95" s="313"/>
      <c r="H95" s="313"/>
      <c r="I95" s="117"/>
      <c r="J95" s="315"/>
      <c r="K95" s="315"/>
      <c r="L95" s="315"/>
      <c r="M95" s="315"/>
      <c r="N95" s="315"/>
      <c r="O95" s="310"/>
      <c r="P95" s="310"/>
    </row>
    <row r="96" spans="3:14" ht="15.75" customHeight="1">
      <c r="C96" s="80"/>
      <c r="F96" s="67"/>
      <c r="G96" s="322"/>
      <c r="H96" s="322"/>
      <c r="I96" s="123"/>
      <c r="J96" s="314"/>
      <c r="K96" s="314"/>
      <c r="L96" s="314"/>
      <c r="M96" s="314"/>
      <c r="N96" s="314"/>
    </row>
    <row r="97" spans="2:14" ht="18" customHeight="1">
      <c r="B97" s="323" t="s">
        <v>56</v>
      </c>
      <c r="C97" s="324"/>
      <c r="D97" s="132">
        <v>208.20401999999999</v>
      </c>
      <c r="E97" s="68"/>
      <c r="F97" s="124" t="s">
        <v>105</v>
      </c>
      <c r="G97" s="313"/>
      <c r="H97" s="313"/>
      <c r="I97" s="125"/>
      <c r="J97" s="314"/>
      <c r="K97" s="314"/>
      <c r="L97" s="314"/>
      <c r="M97" s="314"/>
      <c r="N97" s="314"/>
    </row>
    <row r="98" spans="6:13" ht="9.75" customHeight="1" hidden="1">
      <c r="F98" s="67"/>
      <c r="G98" s="313"/>
      <c r="H98" s="313"/>
      <c r="I98" s="67"/>
      <c r="J98" s="68"/>
      <c r="K98" s="68"/>
      <c r="L98" s="68"/>
      <c r="M98" s="68"/>
    </row>
    <row r="99" spans="2:13" ht="22.5" customHeight="1" hidden="1">
      <c r="B99" s="319" t="s">
        <v>59</v>
      </c>
      <c r="C99" s="320"/>
      <c r="D99" s="79">
        <v>0</v>
      </c>
      <c r="E99" s="50" t="s">
        <v>24</v>
      </c>
      <c r="F99" s="67"/>
      <c r="G99" s="313"/>
      <c r="H99" s="313"/>
      <c r="I99" s="67"/>
      <c r="J99" s="68"/>
      <c r="K99" s="68"/>
      <c r="L99" s="68"/>
      <c r="M99" s="68"/>
    </row>
    <row r="100" spans="2:16" ht="15" hidden="1">
      <c r="B100" s="283" t="s">
        <v>184</v>
      </c>
      <c r="D100" s="67">
        <f>D48+D51+D52</f>
        <v>1060</v>
      </c>
      <c r="E100" s="67">
        <f>E48+E51+E52</f>
        <v>444</v>
      </c>
      <c r="F100" s="201">
        <f>F48+F51+F52</f>
        <v>557.52</v>
      </c>
      <c r="G100" s="67">
        <f>G48+G51+G52</f>
        <v>113.52</v>
      </c>
      <c r="H100" s="68"/>
      <c r="I100" s="68"/>
      <c r="N100" s="28">
        <f>N48+N51+N52</f>
        <v>86</v>
      </c>
      <c r="O100" s="200">
        <f>O48+O51+O52</f>
        <v>117.37000000000002</v>
      </c>
      <c r="P100" s="28">
        <f>P48+P51+P52</f>
        <v>31.37000000000002</v>
      </c>
    </row>
    <row r="101" spans="4:16" ht="15" hidden="1">
      <c r="D101" s="77"/>
      <c r="I101" s="28"/>
      <c r="O101" s="321"/>
      <c r="P101" s="32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367511.52999999997</v>
      </c>
      <c r="G102" s="28">
        <f>F102-E102</f>
        <v>-30553.570000000007</v>
      </c>
      <c r="H102" s="228">
        <f>F102/E102</f>
        <v>0.9232447908646099</v>
      </c>
      <c r="I102" s="28">
        <f>F102-D102</f>
        <v>-931537.0700000001</v>
      </c>
      <c r="J102" s="228">
        <f>F102/D102</f>
        <v>0.28290822221739814</v>
      </c>
      <c r="N102" s="28">
        <f>N9+N15+N17+N18+N19+N23+N42+N45+N65+N59</f>
        <v>105439.4</v>
      </c>
      <c r="O102" s="227">
        <f>O9+O15+O17+O18+O19+O23+O42+O45+O65+O59</f>
        <v>74134.19000000002</v>
      </c>
      <c r="P102" s="28">
        <f>O102-N102</f>
        <v>-31305.209999999977</v>
      </c>
      <c r="Q102" s="228">
        <f>O102/N102</f>
        <v>0.7030976086737977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19322.309999999998</v>
      </c>
      <c r="G103" s="28">
        <f>G43+G44+G46+G48+G50+G51+G52+G53+G54+G60+G64+G47</f>
        <v>-24.440000000000374</v>
      </c>
      <c r="H103" s="228">
        <f>F103/E103</f>
        <v>0.9984657916494418</v>
      </c>
      <c r="I103" s="28">
        <f>I43+I44+I46+I48+I50+I51+I52+I53+I54+I60+I64+I47</f>
        <v>-39114.94</v>
      </c>
      <c r="J103" s="228">
        <f>F103/D103</f>
        <v>0.3306208666638148</v>
      </c>
      <c r="K103" s="28">
        <f aca="true" t="shared" si="24" ref="K103:P103">K43+K44+K46+K48+K50+K51+K52+K53+K54+K60+K64+K47</f>
        <v>16662.34</v>
      </c>
      <c r="L103" s="28">
        <f t="shared" si="24"/>
        <v>2665.2200000000003</v>
      </c>
      <c r="M103" s="28">
        <f t="shared" si="24"/>
        <v>19.627835456470656</v>
      </c>
      <c r="N103" s="28">
        <f>N43+N44+N46+N48+N50+N51+N52+N53+N54+N60+N64+N47+N66</f>
        <v>5120.8</v>
      </c>
      <c r="O103" s="227">
        <f>O43+O44+O46+O48+O50+O51+O52+O53+O54+O60+O64+O47+O66</f>
        <v>5270.649999999998</v>
      </c>
      <c r="P103" s="28">
        <f t="shared" si="24"/>
        <v>149.76999999999947</v>
      </c>
      <c r="Q103" s="228">
        <f>O103/N103</f>
        <v>1.0292630057803465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386833.83999999997</v>
      </c>
      <c r="G104" s="28">
        <f t="shared" si="25"/>
        <v>-30578.010000000006</v>
      </c>
      <c r="H104" s="228">
        <f>F104/E104</f>
        <v>0.9267321343567381</v>
      </c>
      <c r="I104" s="28">
        <f t="shared" si="25"/>
        <v>-970652.01</v>
      </c>
      <c r="J104" s="228">
        <f>F104/D104</f>
        <v>0.28496233971626034</v>
      </c>
      <c r="K104" s="28">
        <f t="shared" si="25"/>
        <v>16662.34</v>
      </c>
      <c r="L104" s="28">
        <f t="shared" si="25"/>
        <v>2665.2200000000003</v>
      </c>
      <c r="M104" s="28">
        <f t="shared" si="25"/>
        <v>19.627835456470656</v>
      </c>
      <c r="N104" s="28">
        <f t="shared" si="25"/>
        <v>110560.2</v>
      </c>
      <c r="O104" s="227">
        <f t="shared" si="25"/>
        <v>79404.84000000001</v>
      </c>
      <c r="P104" s="28">
        <f t="shared" si="25"/>
        <v>-31155.439999999977</v>
      </c>
      <c r="Q104" s="228">
        <f>O104/N104</f>
        <v>0.7182045618586075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-5.250000000003638</v>
      </c>
      <c r="H105" s="228"/>
      <c r="I105" s="28">
        <f t="shared" si="26"/>
        <v>-5.250000000116415</v>
      </c>
      <c r="J105" s="228"/>
      <c r="K105" s="28">
        <f t="shared" si="26"/>
        <v>294242.8</v>
      </c>
      <c r="L105" s="28">
        <f t="shared" si="26"/>
        <v>73263.47999999995</v>
      </c>
      <c r="M105" s="28">
        <f t="shared" si="26"/>
        <v>-18.383617236083563</v>
      </c>
      <c r="N105" s="28">
        <f t="shared" si="26"/>
        <v>0</v>
      </c>
      <c r="O105" s="28">
        <f t="shared" si="26"/>
        <v>0</v>
      </c>
      <c r="P105" s="28">
        <f t="shared" si="26"/>
        <v>0.0799999999908323</v>
      </c>
      <c r="Q105" s="28"/>
      <c r="R105" s="28">
        <f t="shared" si="26"/>
        <v>110624.8</v>
      </c>
      <c r="S105" s="28"/>
      <c r="T105" s="28"/>
      <c r="U105" s="28">
        <f t="shared" si="26"/>
        <v>2.283848366313852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29161.39999999998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24561.02</v>
      </c>
      <c r="G111" s="190">
        <f>F111-E111</f>
        <v>-12856.84</v>
      </c>
      <c r="H111" s="191">
        <f>F111/E111*100</f>
        <v>65.63983081875874</v>
      </c>
      <c r="I111" s="192">
        <f>F111-D111</f>
        <v>-293503.23</v>
      </c>
      <c r="J111" s="192">
        <f>F111/D111*100</f>
        <v>7.722031004741966</v>
      </c>
      <c r="K111" s="192">
        <v>3039.87</v>
      </c>
      <c r="L111" s="192">
        <f>F111-K111</f>
        <v>21521.15</v>
      </c>
      <c r="M111" s="267">
        <f>F111/K111</f>
        <v>8.079628405162063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411394.86</v>
      </c>
      <c r="G112" s="190">
        <f>F112-E112</f>
        <v>-43440.09999999998</v>
      </c>
      <c r="H112" s="191">
        <f>F112/E112*100</f>
        <v>90.44926098029052</v>
      </c>
      <c r="I112" s="192">
        <f>F112-D112</f>
        <v>-1264160.4900000002</v>
      </c>
      <c r="J112" s="192">
        <f>F112/D112*100</f>
        <v>24.552746646059763</v>
      </c>
      <c r="K112" s="192">
        <f>K89+K111</f>
        <v>325584.76</v>
      </c>
      <c r="L112" s="192">
        <f>F112-K112</f>
        <v>85810.09999999998</v>
      </c>
      <c r="M112" s="267">
        <f>F112/K112</f>
        <v>1.2635568691851546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172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957223.94</v>
      </c>
      <c r="G124" s="276">
        <f t="shared" si="28"/>
        <v>-48266.619999999995</v>
      </c>
      <c r="H124" s="275">
        <f t="shared" si="30"/>
        <v>95.19969436610126</v>
      </c>
      <c r="I124" s="277">
        <f t="shared" si="29"/>
        <v>-1941200.1</v>
      </c>
      <c r="J124" s="277">
        <f t="shared" si="31"/>
        <v>33.02566935651003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" sqref="R1:W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89" t="s">
        <v>174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6"/>
      <c r="T1" s="244"/>
      <c r="U1" s="247"/>
      <c r="V1" s="257"/>
      <c r="W1" s="257"/>
    </row>
    <row r="2" spans="2:23" s="1" customFormat="1" ht="15.75" customHeight="1">
      <c r="B2" s="290"/>
      <c r="C2" s="290"/>
      <c r="D2" s="290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291"/>
      <c r="B3" s="293"/>
      <c r="C3" s="294" t="s">
        <v>0</v>
      </c>
      <c r="D3" s="295" t="s">
        <v>138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151</v>
      </c>
      <c r="O3" s="302" t="s">
        <v>152</v>
      </c>
      <c r="P3" s="302"/>
      <c r="Q3" s="302"/>
      <c r="R3" s="302"/>
      <c r="S3" s="302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291"/>
      <c r="B4" s="293"/>
      <c r="C4" s="294"/>
      <c r="D4" s="295"/>
      <c r="E4" s="285" t="s">
        <v>141</v>
      </c>
      <c r="F4" s="311" t="s">
        <v>33</v>
      </c>
      <c r="G4" s="303" t="s">
        <v>150</v>
      </c>
      <c r="H4" s="300" t="s">
        <v>165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175</v>
      </c>
      <c r="P4" s="303" t="s">
        <v>49</v>
      </c>
      <c r="Q4" s="305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157</v>
      </c>
      <c r="L5" s="307"/>
      <c r="M5" s="308"/>
      <c r="N5" s="301"/>
      <c r="O5" s="288"/>
      <c r="P5" s="304"/>
      <c r="Q5" s="305"/>
      <c r="R5" s="306" t="s">
        <v>102</v>
      </c>
      <c r="S5" s="308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9"/>
      <c r="H92" s="309"/>
      <c r="I92" s="309"/>
      <c r="J92" s="309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10"/>
      <c r="P93" s="310"/>
    </row>
    <row r="94" spans="3:16" ht="15">
      <c r="C94" s="80">
        <v>42824</v>
      </c>
      <c r="D94" s="28">
        <v>11112.7</v>
      </c>
      <c r="F94" s="112" t="s">
        <v>58</v>
      </c>
      <c r="G94" s="313"/>
      <c r="H94" s="313"/>
      <c r="I94" s="117"/>
      <c r="J94" s="314"/>
      <c r="K94" s="314"/>
      <c r="L94" s="314"/>
      <c r="M94" s="314"/>
      <c r="N94" s="314"/>
      <c r="O94" s="310"/>
      <c r="P94" s="310"/>
    </row>
    <row r="95" spans="3:16" ht="15.75" customHeight="1">
      <c r="C95" s="80">
        <v>42823</v>
      </c>
      <c r="D95" s="28">
        <v>8830.3</v>
      </c>
      <c r="F95" s="67"/>
      <c r="G95" s="313"/>
      <c r="H95" s="313"/>
      <c r="I95" s="117"/>
      <c r="J95" s="315"/>
      <c r="K95" s="315"/>
      <c r="L95" s="315"/>
      <c r="M95" s="315"/>
      <c r="N95" s="315"/>
      <c r="O95" s="310"/>
      <c r="P95" s="310"/>
    </row>
    <row r="96" spans="3:14" ht="15.75" customHeight="1">
      <c r="C96" s="80"/>
      <c r="F96" s="67"/>
      <c r="G96" s="322"/>
      <c r="H96" s="322"/>
      <c r="I96" s="123"/>
      <c r="J96" s="314"/>
      <c r="K96" s="314"/>
      <c r="L96" s="314"/>
      <c r="M96" s="314"/>
      <c r="N96" s="314"/>
    </row>
    <row r="97" spans="2:14" ht="18" customHeight="1">
      <c r="B97" s="323" t="s">
        <v>56</v>
      </c>
      <c r="C97" s="324"/>
      <c r="D97" s="132">
        <v>1399.2856000000002</v>
      </c>
      <c r="E97" s="68"/>
      <c r="F97" s="124" t="s">
        <v>105</v>
      </c>
      <c r="G97" s="313"/>
      <c r="H97" s="313"/>
      <c r="I97" s="125"/>
      <c r="J97" s="314"/>
      <c r="K97" s="314"/>
      <c r="L97" s="314"/>
      <c r="M97" s="314"/>
      <c r="N97" s="314"/>
    </row>
    <row r="98" spans="6:13" ht="9.75" customHeight="1">
      <c r="F98" s="67"/>
      <c r="G98" s="313"/>
      <c r="H98" s="313"/>
      <c r="I98" s="67"/>
      <c r="J98" s="68"/>
      <c r="K98" s="68"/>
      <c r="L98" s="68"/>
      <c r="M98" s="68"/>
    </row>
    <row r="99" spans="2:13" ht="22.5" customHeight="1" hidden="1">
      <c r="B99" s="319" t="s">
        <v>59</v>
      </c>
      <c r="C99" s="320"/>
      <c r="D99" s="79">
        <v>0</v>
      </c>
      <c r="E99" s="50" t="s">
        <v>24</v>
      </c>
      <c r="F99" s="67"/>
      <c r="G99" s="313"/>
      <c r="H99" s="313"/>
      <c r="I99" s="67"/>
      <c r="J99" s="68"/>
      <c r="K99" s="68"/>
      <c r="L99" s="68"/>
      <c r="M99" s="68"/>
    </row>
    <row r="100" spans="2:16" ht="15" hidden="1">
      <c r="B100" s="282" t="s">
        <v>184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4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1"/>
      <c r="P101" s="32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9" t="s">
        <v>139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6"/>
    </row>
    <row r="2" spans="2:19" s="1" customFormat="1" ht="15.75" customHeight="1">
      <c r="B2" s="290"/>
      <c r="C2" s="290"/>
      <c r="D2" s="290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1"/>
      <c r="B3" s="293"/>
      <c r="C3" s="294" t="s">
        <v>0</v>
      </c>
      <c r="D3" s="295" t="s">
        <v>138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132</v>
      </c>
      <c r="O3" s="302" t="s">
        <v>136</v>
      </c>
      <c r="P3" s="302"/>
      <c r="Q3" s="302"/>
      <c r="R3" s="302"/>
      <c r="S3" s="302"/>
    </row>
    <row r="4" spans="1:19" ht="22.5" customHeight="1">
      <c r="A4" s="291"/>
      <c r="B4" s="293"/>
      <c r="C4" s="294"/>
      <c r="D4" s="295"/>
      <c r="E4" s="285" t="s">
        <v>137</v>
      </c>
      <c r="F4" s="311" t="s">
        <v>33</v>
      </c>
      <c r="G4" s="303" t="s">
        <v>133</v>
      </c>
      <c r="H4" s="300" t="s">
        <v>134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140</v>
      </c>
      <c r="P4" s="303" t="s">
        <v>49</v>
      </c>
      <c r="Q4" s="305" t="s">
        <v>48</v>
      </c>
      <c r="R4" s="90" t="s">
        <v>64</v>
      </c>
      <c r="S4" s="91" t="s">
        <v>63</v>
      </c>
    </row>
    <row r="5" spans="1:19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135</v>
      </c>
      <c r="L5" s="307"/>
      <c r="M5" s="308"/>
      <c r="N5" s="301"/>
      <c r="O5" s="288"/>
      <c r="P5" s="304"/>
      <c r="Q5" s="305"/>
      <c r="R5" s="306" t="s">
        <v>102</v>
      </c>
      <c r="S5" s="30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9"/>
      <c r="H89" s="309"/>
      <c r="I89" s="309"/>
      <c r="J89" s="30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10"/>
      <c r="P90" s="31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3"/>
      <c r="H91" s="313"/>
      <c r="I91" s="117"/>
      <c r="J91" s="314"/>
      <c r="K91" s="314"/>
      <c r="L91" s="314"/>
      <c r="M91" s="314"/>
      <c r="N91" s="314"/>
      <c r="O91" s="310"/>
      <c r="P91" s="310"/>
    </row>
    <row r="92" spans="3:16" ht="15.75" customHeight="1">
      <c r="C92" s="80">
        <v>42790</v>
      </c>
      <c r="D92" s="28">
        <v>4206.9</v>
      </c>
      <c r="F92" s="67"/>
      <c r="G92" s="313"/>
      <c r="H92" s="313"/>
      <c r="I92" s="117"/>
      <c r="J92" s="315"/>
      <c r="K92" s="315"/>
      <c r="L92" s="315"/>
      <c r="M92" s="315"/>
      <c r="N92" s="315"/>
      <c r="O92" s="310"/>
      <c r="P92" s="310"/>
    </row>
    <row r="93" spans="3:14" ht="15.75" customHeight="1">
      <c r="C93" s="80"/>
      <c r="F93" s="67"/>
      <c r="G93" s="322"/>
      <c r="H93" s="322"/>
      <c r="I93" s="123"/>
      <c r="J93" s="314"/>
      <c r="K93" s="314"/>
      <c r="L93" s="314"/>
      <c r="M93" s="314"/>
      <c r="N93" s="314"/>
    </row>
    <row r="94" spans="2:14" ht="18.75" customHeight="1">
      <c r="B94" s="323" t="s">
        <v>56</v>
      </c>
      <c r="C94" s="324"/>
      <c r="D94" s="132">
        <v>7713.34596</v>
      </c>
      <c r="E94" s="68"/>
      <c r="F94" s="124" t="s">
        <v>105</v>
      </c>
      <c r="G94" s="313"/>
      <c r="H94" s="313"/>
      <c r="I94" s="125"/>
      <c r="J94" s="314"/>
      <c r="K94" s="314"/>
      <c r="L94" s="314"/>
      <c r="M94" s="314"/>
      <c r="N94" s="314"/>
    </row>
    <row r="95" spans="6:13" ht="9.75" customHeight="1">
      <c r="F95" s="67"/>
      <c r="G95" s="313"/>
      <c r="H95" s="313"/>
      <c r="I95" s="67"/>
      <c r="J95" s="68"/>
      <c r="K95" s="68"/>
      <c r="L95" s="68"/>
      <c r="M95" s="68"/>
    </row>
    <row r="96" spans="2:13" ht="22.5" customHeight="1" hidden="1">
      <c r="B96" s="319" t="s">
        <v>59</v>
      </c>
      <c r="C96" s="320"/>
      <c r="D96" s="79">
        <v>0</v>
      </c>
      <c r="E96" s="50" t="s">
        <v>24</v>
      </c>
      <c r="F96" s="67"/>
      <c r="G96" s="313"/>
      <c r="H96" s="31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1"/>
      <c r="P98" s="32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9" t="s">
        <v>131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6"/>
    </row>
    <row r="2" spans="2:19" s="1" customFormat="1" ht="15.75" customHeight="1">
      <c r="B2" s="290"/>
      <c r="C2" s="290"/>
      <c r="D2" s="290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1"/>
      <c r="B3" s="293"/>
      <c r="C3" s="294" t="s">
        <v>0</v>
      </c>
      <c r="D3" s="295" t="s">
        <v>121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119</v>
      </c>
      <c r="O3" s="302" t="s">
        <v>115</v>
      </c>
      <c r="P3" s="302"/>
      <c r="Q3" s="302"/>
      <c r="R3" s="302"/>
      <c r="S3" s="302"/>
    </row>
    <row r="4" spans="1:19" ht="22.5" customHeight="1">
      <c r="A4" s="291"/>
      <c r="B4" s="293"/>
      <c r="C4" s="294"/>
      <c r="D4" s="295"/>
      <c r="E4" s="285" t="s">
        <v>122</v>
      </c>
      <c r="F4" s="311" t="s">
        <v>33</v>
      </c>
      <c r="G4" s="303" t="s">
        <v>123</v>
      </c>
      <c r="H4" s="300" t="s">
        <v>124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120</v>
      </c>
      <c r="P4" s="303" t="s">
        <v>49</v>
      </c>
      <c r="Q4" s="305" t="s">
        <v>48</v>
      </c>
      <c r="R4" s="90" t="s">
        <v>64</v>
      </c>
      <c r="S4" s="91" t="s">
        <v>63</v>
      </c>
    </row>
    <row r="5" spans="1:19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129</v>
      </c>
      <c r="L5" s="307"/>
      <c r="M5" s="308"/>
      <c r="N5" s="301"/>
      <c r="O5" s="288"/>
      <c r="P5" s="304"/>
      <c r="Q5" s="305"/>
      <c r="R5" s="306" t="s">
        <v>102</v>
      </c>
      <c r="S5" s="30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9"/>
      <c r="H89" s="309"/>
      <c r="I89" s="309"/>
      <c r="J89" s="30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10"/>
      <c r="P90" s="31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3"/>
      <c r="H91" s="313"/>
      <c r="I91" s="117"/>
      <c r="J91" s="314"/>
      <c r="K91" s="314"/>
      <c r="L91" s="314"/>
      <c r="M91" s="314"/>
      <c r="N91" s="314"/>
      <c r="O91" s="310"/>
      <c r="P91" s="310"/>
    </row>
    <row r="92" spans="3:16" ht="15.75" customHeight="1">
      <c r="C92" s="80">
        <v>42762</v>
      </c>
      <c r="D92" s="28">
        <v>8862.4</v>
      </c>
      <c r="F92" s="67"/>
      <c r="G92" s="313"/>
      <c r="H92" s="313"/>
      <c r="I92" s="117"/>
      <c r="J92" s="315"/>
      <c r="K92" s="315"/>
      <c r="L92" s="315"/>
      <c r="M92" s="315"/>
      <c r="N92" s="315"/>
      <c r="O92" s="310"/>
      <c r="P92" s="310"/>
    </row>
    <row r="93" spans="3:14" ht="15.75" customHeight="1">
      <c r="C93" s="80"/>
      <c r="F93" s="67"/>
      <c r="G93" s="322"/>
      <c r="H93" s="322"/>
      <c r="I93" s="123"/>
      <c r="J93" s="314"/>
      <c r="K93" s="314"/>
      <c r="L93" s="314"/>
      <c r="M93" s="314"/>
      <c r="N93" s="314"/>
    </row>
    <row r="94" spans="2:14" ht="18.75" customHeight="1">
      <c r="B94" s="323" t="s">
        <v>56</v>
      </c>
      <c r="C94" s="324"/>
      <c r="D94" s="132">
        <f>9505303.41/1000</f>
        <v>9505.30341</v>
      </c>
      <c r="E94" s="68"/>
      <c r="F94" s="124" t="s">
        <v>105</v>
      </c>
      <c r="G94" s="313"/>
      <c r="H94" s="313"/>
      <c r="I94" s="125"/>
      <c r="J94" s="314"/>
      <c r="K94" s="314"/>
      <c r="L94" s="314"/>
      <c r="M94" s="314"/>
      <c r="N94" s="314"/>
    </row>
    <row r="95" spans="6:13" ht="9.75" customHeight="1">
      <c r="F95" s="67"/>
      <c r="G95" s="313"/>
      <c r="H95" s="313"/>
      <c r="I95" s="67"/>
      <c r="J95" s="68"/>
      <c r="K95" s="68"/>
      <c r="L95" s="68"/>
      <c r="M95" s="68"/>
    </row>
    <row r="96" spans="2:13" ht="22.5" customHeight="1" hidden="1">
      <c r="B96" s="319" t="s">
        <v>59</v>
      </c>
      <c r="C96" s="320"/>
      <c r="D96" s="79">
        <v>0</v>
      </c>
      <c r="E96" s="50" t="s">
        <v>24</v>
      </c>
      <c r="F96" s="67"/>
      <c r="G96" s="313"/>
      <c r="H96" s="31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1"/>
      <c r="P98" s="32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2017-04-25T11:22:32Z</cp:lastPrinted>
  <dcterms:created xsi:type="dcterms:W3CDTF">2003-07-28T11:27:56Z</dcterms:created>
  <dcterms:modified xsi:type="dcterms:W3CDTF">2017-04-26T08:03:31Z</dcterms:modified>
  <cp:category/>
  <cp:version/>
  <cp:contentType/>
  <cp:contentStatus/>
</cp:coreProperties>
</file>